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yfloridacfo.sharepoint.com/sites/FLP/PMO Team/Budget/FY25-26/"/>
    </mc:Choice>
  </mc:AlternateContent>
  <xr:revisionPtr revIDLastSave="0" documentId="13_ncr:1_{A3BD068D-7414-404F-8307-DE9061F6AC09}" xr6:coauthVersionLast="47" xr6:coauthVersionMax="47" xr10:uidLastSave="{00000000-0000-0000-0000-000000000000}"/>
  <bookViews>
    <workbookView xWindow="19090" yWindow="-110" windowWidth="19420" windowHeight="1030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3" i="29" l="1"/>
  <c r="BG14" i="29"/>
  <c r="BG15" i="29"/>
  <c r="BG16" i="29"/>
  <c r="BG17" i="29"/>
  <c r="BG12" i="29"/>
  <c r="D13" i="29"/>
  <c r="D14" i="29"/>
  <c r="D15" i="29"/>
  <c r="D16" i="29"/>
  <c r="D17" i="29"/>
  <c r="D12" i="29"/>
  <c r="AW19" i="29"/>
  <c r="AV17" i="29"/>
  <c r="AV16" i="29"/>
  <c r="AV15" i="29"/>
  <c r="AV14" i="29"/>
  <c r="AV13" i="29"/>
  <c r="AV12" i="29"/>
  <c r="AV11" i="29" s="1"/>
  <c r="BI42" i="28"/>
  <c r="BI43" i="28"/>
  <c r="BI45" i="28"/>
  <c r="BI41" i="28"/>
  <c r="BI39" i="28"/>
  <c r="BH45" i="28"/>
  <c r="BH41" i="28"/>
  <c r="BH39" i="28"/>
  <c r="BI14" i="28"/>
  <c r="BI15" i="28"/>
  <c r="BI16" i="28"/>
  <c r="BI17" i="28"/>
  <c r="BI18" i="28"/>
  <c r="BI19" i="28"/>
  <c r="BI20" i="28"/>
  <c r="BI21" i="28"/>
  <c r="BI22" i="28"/>
  <c r="BI23" i="28"/>
  <c r="BI24" i="28"/>
  <c r="BI25" i="28"/>
  <c r="BI26" i="28"/>
  <c r="BI27" i="28"/>
  <c r="BI28" i="28"/>
  <c r="BI29" i="28"/>
  <c r="BI30" i="28"/>
  <c r="BI31" i="28"/>
  <c r="BI32" i="28"/>
  <c r="BI33" i="28"/>
  <c r="BI34" i="28"/>
  <c r="BI35" i="28"/>
  <c r="BI36" i="28"/>
  <c r="BI37" i="28"/>
  <c r="BI13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AW12" i="28"/>
  <c r="AW11" i="28" s="1"/>
  <c r="AW42" i="27"/>
  <c r="AV37" i="27"/>
  <c r="AV36" i="27"/>
  <c r="AV35" i="27"/>
  <c r="AV34" i="27"/>
  <c r="AV33" i="27"/>
  <c r="AV32" i="27"/>
  <c r="AV40" i="27" s="1"/>
  <c r="AV31" i="27"/>
  <c r="AV39" i="27" s="1"/>
  <c r="AV29" i="27"/>
  <c r="AV28" i="27"/>
  <c r="AV27" i="27"/>
  <c r="AV26" i="27"/>
  <c r="AV25" i="27"/>
  <c r="AV24" i="27"/>
  <c r="AV23" i="27"/>
  <c r="AV22" i="27"/>
  <c r="AV21" i="27"/>
  <c r="AV20" i="27"/>
  <c r="AV19" i="27"/>
  <c r="AV18" i="27"/>
  <c r="AV17" i="27"/>
  <c r="AV16" i="27"/>
  <c r="AV15" i="27"/>
  <c r="AV14" i="27"/>
  <c r="AV13" i="27"/>
  <c r="AV12" i="27"/>
  <c r="AV11" i="27"/>
  <c r="H13" i="24"/>
  <c r="G26" i="24"/>
  <c r="G27" i="24"/>
  <c r="G28" i="24"/>
  <c r="G29" i="24"/>
  <c r="G30" i="24"/>
  <c r="G31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Z13" i="24"/>
  <c r="AZ32" i="24" s="1"/>
  <c r="AV18" i="29" l="1"/>
  <c r="AV19" i="29" s="1"/>
  <c r="AW59" i="28"/>
  <c r="AV41" i="27"/>
  <c r="AV38" i="27"/>
  <c r="BG17" i="27"/>
  <c r="BG18" i="27"/>
  <c r="BG25" i="27"/>
  <c r="BG26" i="27"/>
  <c r="BG34" i="27"/>
  <c r="BG35" i="27"/>
  <c r="AI18" i="29"/>
  <c r="BH42" i="28"/>
  <c r="BH43" i="28"/>
  <c r="BH44" i="28"/>
  <c r="BG32" i="27"/>
  <c r="BG33" i="27"/>
  <c r="BG36" i="27"/>
  <c r="BG37" i="27"/>
  <c r="BG31" i="27"/>
  <c r="BG12" i="27"/>
  <c r="BG13" i="27"/>
  <c r="BG14" i="27"/>
  <c r="BG15" i="27"/>
  <c r="BG16" i="27"/>
  <c r="BG19" i="27"/>
  <c r="BG20" i="27"/>
  <c r="BG21" i="27"/>
  <c r="BG22" i="27"/>
  <c r="BG23" i="27"/>
  <c r="BG24" i="27"/>
  <c r="BG27" i="27"/>
  <c r="BG28" i="27"/>
  <c r="BG29" i="27"/>
  <c r="BG11" i="27"/>
  <c r="AJ12" i="28"/>
  <c r="AJ11" i="28" s="1"/>
  <c r="AI39" i="27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W11" i="29"/>
  <c r="AX11" i="29"/>
  <c r="AZ11" i="29"/>
  <c r="BA11" i="29"/>
  <c r="BB11" i="29"/>
  <c r="BD11" i="29"/>
  <c r="BE11" i="29"/>
  <c r="BF11" i="29"/>
  <c r="Q11" i="29"/>
  <c r="BH12" i="29"/>
  <c r="BI12" i="29"/>
  <c r="BH13" i="29"/>
  <c r="BI13" i="29"/>
  <c r="BH14" i="29"/>
  <c r="BI14" i="29"/>
  <c r="BH15" i="29"/>
  <c r="BI15" i="29"/>
  <c r="BH16" i="29"/>
  <c r="BI16" i="29"/>
  <c r="BH17" i="29"/>
  <c r="BI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W18" i="29"/>
  <c r="AX18" i="29"/>
  <c r="AZ18" i="29"/>
  <c r="BA18" i="29"/>
  <c r="BB18" i="29"/>
  <c r="BD18" i="29"/>
  <c r="BE18" i="29"/>
  <c r="BF18" i="29"/>
  <c r="H11" i="28"/>
  <c r="L11" i="28"/>
  <c r="P11" i="28"/>
  <c r="U11" i="28"/>
  <c r="Y11" i="28"/>
  <c r="AD11" i="28"/>
  <c r="AH11" i="28"/>
  <c r="AM11" i="28"/>
  <c r="AQ11" i="28"/>
  <c r="AU11" i="28"/>
  <c r="AZ11" i="28"/>
  <c r="BD11" i="28"/>
  <c r="H12" i="28"/>
  <c r="L12" i="28"/>
  <c r="P12" i="28"/>
  <c r="U12" i="28"/>
  <c r="Y12" i="28"/>
  <c r="AD12" i="28"/>
  <c r="AH12" i="28"/>
  <c r="AM12" i="28"/>
  <c r="AQ12" i="28"/>
  <c r="AU12" i="28"/>
  <c r="AZ12" i="28"/>
  <c r="BD12" i="28"/>
  <c r="BF12" i="28"/>
  <c r="BG12" i="28"/>
  <c r="BK14" i="28"/>
  <c r="BK22" i="28"/>
  <c r="BK30" i="28"/>
  <c r="BJ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Z46" i="28"/>
  <c r="BD46" i="28"/>
  <c r="BF46" i="28"/>
  <c r="BG46" i="28"/>
  <c r="BI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X47" i="28"/>
  <c r="AY47" i="28"/>
  <c r="BA47" i="28"/>
  <c r="BB47" i="28"/>
  <c r="BC47" i="28"/>
  <c r="BE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X48" i="28"/>
  <c r="AY48" i="28"/>
  <c r="BA48" i="28"/>
  <c r="BB48" i="28"/>
  <c r="BC48" i="28"/>
  <c r="BE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X49" i="28"/>
  <c r="AY49" i="28"/>
  <c r="BA49" i="28"/>
  <c r="BB49" i="28"/>
  <c r="BC49" i="28"/>
  <c r="BE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X50" i="28"/>
  <c r="AY50" i="28"/>
  <c r="BA50" i="28"/>
  <c r="BB50" i="28"/>
  <c r="BC50" i="28"/>
  <c r="BE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X51" i="28"/>
  <c r="AY51" i="28"/>
  <c r="BA51" i="28"/>
  <c r="BB51" i="28"/>
  <c r="BC51" i="28"/>
  <c r="BE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X52" i="28"/>
  <c r="AY52" i="28"/>
  <c r="BA52" i="28"/>
  <c r="BB52" i="28"/>
  <c r="BC52" i="28"/>
  <c r="BE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X53" i="28"/>
  <c r="AY53" i="28"/>
  <c r="BA53" i="28"/>
  <c r="BB53" i="28"/>
  <c r="BC53" i="28"/>
  <c r="BE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X54" i="28"/>
  <c r="AY54" i="28"/>
  <c r="BA54" i="28"/>
  <c r="BB54" i="28"/>
  <c r="BC54" i="28"/>
  <c r="BE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X55" i="28"/>
  <c r="AY55" i="28"/>
  <c r="BA55" i="28"/>
  <c r="BB55" i="28"/>
  <c r="BC55" i="28"/>
  <c r="BE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X56" i="28"/>
  <c r="AY56" i="28"/>
  <c r="BA56" i="28"/>
  <c r="BB56" i="28"/>
  <c r="BC56" i="28"/>
  <c r="BE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X57" i="28"/>
  <c r="AY57" i="28"/>
  <c r="BA57" i="28"/>
  <c r="BB57" i="28"/>
  <c r="BC57" i="28"/>
  <c r="BE57" i="28"/>
  <c r="B58" i="28"/>
  <c r="C58" i="28"/>
  <c r="AS58" i="28" s="1"/>
  <c r="D58" i="28"/>
  <c r="BJ58" i="28"/>
  <c r="BK58" i="28"/>
  <c r="H59" i="28"/>
  <c r="L59" i="28"/>
  <c r="P59" i="28"/>
  <c r="U59" i="28"/>
  <c r="Y59" i="28"/>
  <c r="AD59" i="28"/>
  <c r="AH59" i="28"/>
  <c r="AM59" i="28"/>
  <c r="AQ59" i="28"/>
  <c r="AU59" i="28"/>
  <c r="AZ59" i="28"/>
  <c r="BD59" i="28"/>
  <c r="BI11" i="27"/>
  <c r="BJ11" i="27"/>
  <c r="BL11" i="27"/>
  <c r="BJ12" i="27"/>
  <c r="BL12" i="27"/>
  <c r="BI13" i="27"/>
  <c r="BJ13" i="27"/>
  <c r="BL13" i="27"/>
  <c r="BJ14" i="27"/>
  <c r="BL14" i="27"/>
  <c r="BI15" i="27"/>
  <c r="BJ15" i="27"/>
  <c r="BL15" i="27"/>
  <c r="BJ16" i="27"/>
  <c r="BL16" i="27"/>
  <c r="BJ17" i="27"/>
  <c r="BL17" i="27"/>
  <c r="BI18" i="27"/>
  <c r="BJ18" i="27"/>
  <c r="BL18" i="27"/>
  <c r="BJ19" i="27"/>
  <c r="BL19" i="27"/>
  <c r="BJ20" i="27"/>
  <c r="BL20" i="27"/>
  <c r="BI21" i="27"/>
  <c r="BJ21" i="27"/>
  <c r="BL21" i="27"/>
  <c r="BJ22" i="27"/>
  <c r="BL22" i="27"/>
  <c r="BJ23" i="27"/>
  <c r="BL23" i="27"/>
  <c r="BJ24" i="27"/>
  <c r="BL24" i="27"/>
  <c r="BJ25" i="27"/>
  <c r="BL25" i="27"/>
  <c r="BI26" i="27"/>
  <c r="BJ26" i="27"/>
  <c r="BL26" i="27"/>
  <c r="BJ27" i="27"/>
  <c r="BL27" i="27"/>
  <c r="BJ28" i="27"/>
  <c r="BL28" i="27"/>
  <c r="BJ29" i="27"/>
  <c r="BL29" i="27"/>
  <c r="D31" i="27"/>
  <c r="D39" i="27" s="1"/>
  <c r="Z39" i="27"/>
  <c r="Y39" i="27"/>
  <c r="D32" i="27"/>
  <c r="BL32" i="27"/>
  <c r="U40" i="27"/>
  <c r="BJ32" i="27"/>
  <c r="M40" i="27"/>
  <c r="R40" i="27"/>
  <c r="AE40" i="27"/>
  <c r="BA41" i="27"/>
  <c r="BJ33" i="27"/>
  <c r="BL33" i="27"/>
  <c r="D34" i="27"/>
  <c r="BJ34" i="27"/>
  <c r="BL34" i="27"/>
  <c r="D35" i="27"/>
  <c r="BL35" i="27"/>
  <c r="D36" i="27"/>
  <c r="BL36" i="27"/>
  <c r="D37" i="27"/>
  <c r="BL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W38" i="27"/>
  <c r="AX38" i="27"/>
  <c r="AZ38" i="27"/>
  <c r="BA38" i="27"/>
  <c r="BB38" i="27"/>
  <c r="BD38" i="27"/>
  <c r="BE38" i="27"/>
  <c r="BF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W39" i="27"/>
  <c r="AX39" i="27"/>
  <c r="AZ39" i="27"/>
  <c r="BA39" i="27"/>
  <c r="BB39" i="27"/>
  <c r="BD39" i="27"/>
  <c r="BE39" i="27"/>
  <c r="BF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W40" i="27"/>
  <c r="AX40" i="27"/>
  <c r="AZ40" i="27"/>
  <c r="BB40" i="27"/>
  <c r="BD40" i="27"/>
  <c r="BE40" i="27"/>
  <c r="BF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W41" i="27"/>
  <c r="AX41" i="27"/>
  <c r="AZ41" i="27"/>
  <c r="BB41" i="27"/>
  <c r="BD41" i="27"/>
  <c r="BE41" i="27"/>
  <c r="BF41" i="27"/>
  <c r="F11" i="24"/>
  <c r="E11" i="24"/>
  <c r="E10" i="24" s="1"/>
  <c r="D11" i="24"/>
  <c r="D10" i="24" s="1"/>
  <c r="C11" i="24"/>
  <c r="C10" i="24" s="1"/>
  <c r="B11" i="24"/>
  <c r="B10" i="24" s="1"/>
  <c r="BH40" i="28" l="1"/>
  <c r="BM34" i="27"/>
  <c r="BH47" i="28"/>
  <c r="BH50" i="28"/>
  <c r="BH52" i="28"/>
  <c r="BH55" i="28"/>
  <c r="BH48" i="28"/>
  <c r="BH57" i="28"/>
  <c r="BH49" i="28"/>
  <c r="BH51" i="28"/>
  <c r="BH53" i="28"/>
  <c r="BH56" i="28"/>
  <c r="BH54" i="28"/>
  <c r="AI11" i="29"/>
  <c r="AJ59" i="28"/>
  <c r="AI41" i="27"/>
  <c r="AI40" i="27"/>
  <c r="BM27" i="27"/>
  <c r="AI38" i="27"/>
  <c r="BM25" i="27"/>
  <c r="BM16" i="27"/>
  <c r="BM28" i="27"/>
  <c r="BM13" i="27"/>
  <c r="BM17" i="27"/>
  <c r="E48" i="28"/>
  <c r="E49" i="28"/>
  <c r="BM11" i="27"/>
  <c r="BM14" i="27"/>
  <c r="BK18" i="27"/>
  <c r="BM24" i="27"/>
  <c r="BK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X20" i="29" s="1"/>
  <c r="BB20" i="29" s="1"/>
  <c r="BE20" i="29" s="1"/>
  <c r="BM22" i="27"/>
  <c r="BJ38" i="27"/>
  <c r="BM20" i="27"/>
  <c r="BL38" i="27"/>
  <c r="BH15" i="27"/>
  <c r="AD13" i="24"/>
  <c r="AD32" i="24" s="1"/>
  <c r="U13" i="24"/>
  <c r="U32" i="24" s="1"/>
  <c r="AB46" i="28"/>
  <c r="H26" i="24"/>
  <c r="H31" i="24"/>
  <c r="BJ54" i="28"/>
  <c r="AK46" i="28"/>
  <c r="H30" i="24"/>
  <c r="E53" i="28"/>
  <c r="BG11" i="28"/>
  <c r="BG59" i="28" s="1"/>
  <c r="I19" i="29"/>
  <c r="M19" i="29" s="1"/>
  <c r="BI18" i="29"/>
  <c r="BF11" i="28"/>
  <c r="BF59" i="28" s="1"/>
  <c r="AL46" i="28"/>
  <c r="BJ16" i="28"/>
  <c r="M46" i="28"/>
  <c r="BK26" i="28"/>
  <c r="BJ56" i="28"/>
  <c r="BJ33" i="28"/>
  <c r="BC12" i="28"/>
  <c r="BC11" i="28" s="1"/>
  <c r="AR12" i="28"/>
  <c r="AR11" i="28" s="1"/>
  <c r="I12" i="28"/>
  <c r="I11" i="28" s="1"/>
  <c r="AF58" i="28"/>
  <c r="AF46" i="28" s="1"/>
  <c r="E55" i="28"/>
  <c r="E54" i="28"/>
  <c r="BK48" i="28"/>
  <c r="BK45" i="28"/>
  <c r="BK44" i="28" s="1"/>
  <c r="BJ20" i="28"/>
  <c r="BK15" i="28"/>
  <c r="H25" i="24"/>
  <c r="C46" i="28"/>
  <c r="BK18" i="28"/>
  <c r="BK50" i="28"/>
  <c r="X46" i="28"/>
  <c r="BK42" i="28"/>
  <c r="BJ27" i="28"/>
  <c r="AG12" i="28"/>
  <c r="AG11" i="28" s="1"/>
  <c r="BK57" i="28"/>
  <c r="BK35" i="28"/>
  <c r="BJ53" i="28"/>
  <c r="AS46" i="28"/>
  <c r="J46" i="28"/>
  <c r="BC46" i="28"/>
  <c r="AR46" i="28"/>
  <c r="BK31" i="28"/>
  <c r="BK19" i="28"/>
  <c r="Z46" i="28"/>
  <c r="BK51" i="28"/>
  <c r="AV46" i="28"/>
  <c r="AX12" i="28"/>
  <c r="AX11" i="28" s="1"/>
  <c r="V12" i="28"/>
  <c r="V11" i="28" s="1"/>
  <c r="H27" i="24"/>
  <c r="H28" i="24"/>
  <c r="BK33" i="28"/>
  <c r="E50" i="28"/>
  <c r="AX46" i="28"/>
  <c r="H29" i="24"/>
  <c r="BJ52" i="28"/>
  <c r="AO46" i="28"/>
  <c r="BK49" i="28"/>
  <c r="F46" i="28"/>
  <c r="BA46" i="28"/>
  <c r="AC46" i="28"/>
  <c r="Q46" i="28"/>
  <c r="BK37" i="28"/>
  <c r="BJ19" i="28"/>
  <c r="BK17" i="28"/>
  <c r="BJ55" i="28"/>
  <c r="BK32" i="28"/>
  <c r="BK27" i="28"/>
  <c r="BK16" i="28"/>
  <c r="BH11" i="29"/>
  <c r="L21" i="29"/>
  <c r="P21" i="29" s="1"/>
  <c r="U21" i="29" s="1"/>
  <c r="Y21" i="29" s="1"/>
  <c r="AD21" i="29" s="1"/>
  <c r="AH21" i="29" s="1"/>
  <c r="AM21" i="29" s="1"/>
  <c r="AQ21" i="29" s="1"/>
  <c r="AU21" i="29" s="1"/>
  <c r="AZ21" i="29" s="1"/>
  <c r="BD21" i="29" s="1"/>
  <c r="BF21" i="29" s="1"/>
  <c r="BH18" i="29"/>
  <c r="BI11" i="29"/>
  <c r="BM33" i="27"/>
  <c r="BM32" i="27"/>
  <c r="BL39" i="27"/>
  <c r="BM29" i="27"/>
  <c r="BM26" i="27"/>
  <c r="BH26" i="27"/>
  <c r="BM23" i="27"/>
  <c r="BH18" i="27"/>
  <c r="BM15" i="27"/>
  <c r="BK13" i="27"/>
  <c r="BM21" i="27"/>
  <c r="BH23" i="27"/>
  <c r="BK15" i="27"/>
  <c r="BM12" i="27"/>
  <c r="BH29" i="27"/>
  <c r="BK21" i="27"/>
  <c r="BH25" i="27"/>
  <c r="BM19" i="27"/>
  <c r="BH17" i="27"/>
  <c r="BM18" i="27"/>
  <c r="D11" i="29"/>
  <c r="D18" i="29" s="1"/>
  <c r="Q18" i="29"/>
  <c r="BJ25" i="28"/>
  <c r="AV12" i="28"/>
  <c r="AV11" i="28" s="1"/>
  <c r="T12" i="28"/>
  <c r="T11" i="28" s="1"/>
  <c r="W46" i="28"/>
  <c r="BJ49" i="28"/>
  <c r="AT46" i="28"/>
  <c r="AI46" i="28"/>
  <c r="K46" i="28"/>
  <c r="BK29" i="28"/>
  <c r="BK28" i="28"/>
  <c r="BJ23" i="28"/>
  <c r="AE12" i="28"/>
  <c r="AE11" i="28" s="1"/>
  <c r="AS12" i="28"/>
  <c r="AS11" i="28" s="1"/>
  <c r="BB12" i="28"/>
  <c r="BB11" i="28" s="1"/>
  <c r="AP12" i="28"/>
  <c r="AP11" i="28" s="1"/>
  <c r="S12" i="28"/>
  <c r="S11" i="28" s="1"/>
  <c r="E51" i="28"/>
  <c r="BJ31" i="28"/>
  <c r="BK54" i="28"/>
  <c r="BK52" i="28"/>
  <c r="BE46" i="28"/>
  <c r="AG46" i="28"/>
  <c r="V46" i="28"/>
  <c r="BK36" i="28"/>
  <c r="BK23" i="28"/>
  <c r="BK21" i="28"/>
  <c r="BK20" i="28"/>
  <c r="AF12" i="28"/>
  <c r="AF11" i="28" s="1"/>
  <c r="BA12" i="28"/>
  <c r="BA11" i="28" s="1"/>
  <c r="AC12" i="28"/>
  <c r="AC11" i="28" s="1"/>
  <c r="Q12" i="28"/>
  <c r="Q11" i="28" s="1"/>
  <c r="F12" i="28"/>
  <c r="F11" i="28" s="1"/>
  <c r="BJ41" i="28"/>
  <c r="T46" i="28"/>
  <c r="BJ47" i="28"/>
  <c r="BK47" i="28"/>
  <c r="I46" i="28"/>
  <c r="BJ45" i="28"/>
  <c r="BJ44" i="28" s="1"/>
  <c r="BK41" i="28"/>
  <c r="BK34" i="28"/>
  <c r="BJ30" i="28"/>
  <c r="AO12" i="28"/>
  <c r="AO11" i="28" s="1"/>
  <c r="G12" i="28"/>
  <c r="G11" i="28" s="1"/>
  <c r="AY12" i="28"/>
  <c r="AY11" i="28" s="1"/>
  <c r="E12" i="28"/>
  <c r="E11" i="28" s="1"/>
  <c r="BJ22" i="28"/>
  <c r="AN12" i="28"/>
  <c r="AN11" i="28" s="1"/>
  <c r="AB12" i="28"/>
  <c r="AB11" i="28" s="1"/>
  <c r="AL12" i="28"/>
  <c r="AL11" i="28" s="1"/>
  <c r="Z12" i="28"/>
  <c r="Z11" i="28" s="1"/>
  <c r="J12" i="28"/>
  <c r="J11" i="28" s="1"/>
  <c r="BJ57" i="28"/>
  <c r="BJ51" i="28"/>
  <c r="BJ50" i="28"/>
  <c r="AE46" i="28"/>
  <c r="BK55" i="28"/>
  <c r="BK25" i="28"/>
  <c r="BE12" i="28"/>
  <c r="BE11" i="28" s="1"/>
  <c r="AK12" i="28"/>
  <c r="AK11" i="28" s="1"/>
  <c r="X12" i="28"/>
  <c r="X11" i="28" s="1"/>
  <c r="M12" i="28"/>
  <c r="M11" i="28" s="1"/>
  <c r="BJ24" i="28"/>
  <c r="BK56" i="28"/>
  <c r="AP46" i="28"/>
  <c r="G46" i="28"/>
  <c r="BJ42" i="28"/>
  <c r="BK53" i="28"/>
  <c r="BJ48" i="28"/>
  <c r="AY46" i="28"/>
  <c r="AN46" i="28"/>
  <c r="O46" i="28"/>
  <c r="D46" i="28"/>
  <c r="D59" i="28" s="1"/>
  <c r="BK39" i="28"/>
  <c r="BK38" i="28" s="1"/>
  <c r="BJ32" i="28"/>
  <c r="BK24" i="28"/>
  <c r="AT12" i="28"/>
  <c r="AT11" i="28" s="1"/>
  <c r="AI12" i="28"/>
  <c r="AI11" i="28" s="1"/>
  <c r="K12" i="28"/>
  <c r="K11" i="28" s="1"/>
  <c r="S58" i="28"/>
  <c r="BJ39" i="28"/>
  <c r="BJ38" i="28" s="1"/>
  <c r="BJ14" i="28"/>
  <c r="N12" i="28"/>
  <c r="N11" i="28" s="1"/>
  <c r="O12" i="28"/>
  <c r="O11" i="28" s="1"/>
  <c r="E58" i="28"/>
  <c r="E44" i="28"/>
  <c r="E40" i="28"/>
  <c r="BJ17" i="28"/>
  <c r="W12" i="28"/>
  <c r="W11" i="28" s="1"/>
  <c r="E47" i="28"/>
  <c r="BJ36" i="28"/>
  <c r="BJ28" i="28"/>
  <c r="N46" i="28"/>
  <c r="BJ15" i="28"/>
  <c r="C12" i="28"/>
  <c r="C11" i="28" s="1"/>
  <c r="BJ37" i="28"/>
  <c r="BJ34" i="28"/>
  <c r="BJ26" i="28"/>
  <c r="BJ18" i="28"/>
  <c r="BK13" i="28"/>
  <c r="BB58" i="28"/>
  <c r="BB46" i="28" s="1"/>
  <c r="BJ29" i="28"/>
  <c r="BJ21" i="28"/>
  <c r="BJ13" i="28"/>
  <c r="BH20" i="27"/>
  <c r="BI20" i="27"/>
  <c r="BK20" i="27" s="1"/>
  <c r="BH12" i="27"/>
  <c r="BI12" i="27"/>
  <c r="BK12" i="27" s="1"/>
  <c r="BJ36" i="27"/>
  <c r="BM36" i="27" s="1"/>
  <c r="BH34" i="27"/>
  <c r="BI34" i="27"/>
  <c r="BK34" i="27" s="1"/>
  <c r="BH27" i="27"/>
  <c r="BI27" i="27"/>
  <c r="BK27" i="27" s="1"/>
  <c r="BH11" i="27"/>
  <c r="BJ37" i="27"/>
  <c r="BM37" i="27" s="1"/>
  <c r="BK11" i="27"/>
  <c r="AE41" i="27"/>
  <c r="U41" i="27"/>
  <c r="J41" i="27"/>
  <c r="J39" i="27"/>
  <c r="BJ39" i="27" s="1"/>
  <c r="D33" i="27"/>
  <c r="D40" i="27" s="1"/>
  <c r="D41" i="27" s="1"/>
  <c r="BI32" i="27"/>
  <c r="BL31" i="27"/>
  <c r="BL41" i="27" s="1"/>
  <c r="BH28" i="27"/>
  <c r="BH22" i="27"/>
  <c r="BH21" i="27"/>
  <c r="BI19" i="27"/>
  <c r="BK19" i="27" s="1"/>
  <c r="BH14" i="27"/>
  <c r="BH13" i="27"/>
  <c r="R41" i="27"/>
  <c r="H41" i="27"/>
  <c r="H44" i="27" s="1"/>
  <c r="L44" i="27" s="1"/>
  <c r="P44" i="27" s="1"/>
  <c r="H40" i="27"/>
  <c r="BL40" i="27" s="1"/>
  <c r="BI37" i="27"/>
  <c r="BJ35" i="27"/>
  <c r="BM35" i="27" s="1"/>
  <c r="BJ31" i="27"/>
  <c r="BI25" i="27"/>
  <c r="BK25" i="27" s="1"/>
  <c r="BH19" i="27"/>
  <c r="BI17" i="27"/>
  <c r="BK17" i="27" s="1"/>
  <c r="Q41" i="27"/>
  <c r="F41" i="27"/>
  <c r="F43" i="27" s="1"/>
  <c r="F40" i="27"/>
  <c r="BJ40" i="27" s="1"/>
  <c r="Q39" i="27"/>
  <c r="BG39" i="27" s="1"/>
  <c r="Q38" i="27"/>
  <c r="BI35" i="27"/>
  <c r="BI31" i="27"/>
  <c r="BI24" i="27"/>
  <c r="BK24" i="27" s="1"/>
  <c r="BI16" i="27"/>
  <c r="BK16" i="27" s="1"/>
  <c r="BI29" i="27"/>
  <c r="BK29" i="27" s="1"/>
  <c r="BI23" i="27"/>
  <c r="BK23" i="27" s="1"/>
  <c r="BA40" i="27"/>
  <c r="E41" i="27"/>
  <c r="E42" i="27" s="1"/>
  <c r="I42" i="27" s="1"/>
  <c r="Y41" i="27"/>
  <c r="BH24" i="27"/>
  <c r="BH16" i="27"/>
  <c r="E40" i="27"/>
  <c r="M41" i="27"/>
  <c r="F10" i="24"/>
  <c r="AK59" i="28" l="1"/>
  <c r="BH58" i="28"/>
  <c r="BH46" i="28" s="1"/>
  <c r="BM38" i="27"/>
  <c r="BM39" i="27"/>
  <c r="AC59" i="28"/>
  <c r="Q19" i="29"/>
  <c r="R19" i="29" s="1"/>
  <c r="V19" i="29" s="1"/>
  <c r="AS59" i="28"/>
  <c r="AB59" i="28"/>
  <c r="C59" i="28"/>
  <c r="AO59" i="28"/>
  <c r="AI59" i="28"/>
  <c r="O59" i="28"/>
  <c r="AT59" i="28"/>
  <c r="Q59" i="28"/>
  <c r="AL59" i="28"/>
  <c r="BI38" i="28"/>
  <c r="AX59" i="28"/>
  <c r="AG59" i="28"/>
  <c r="M59" i="28"/>
  <c r="BK40" i="28"/>
  <c r="AR59" i="28"/>
  <c r="BC59" i="28"/>
  <c r="V59" i="28"/>
  <c r="F59" i="28"/>
  <c r="F60" i="28" s="1"/>
  <c r="E46" i="28"/>
  <c r="E59" i="28" s="1"/>
  <c r="BJ12" i="28"/>
  <c r="BI44" i="28"/>
  <c r="J59" i="28"/>
  <c r="X59" i="28"/>
  <c r="Z59" i="28"/>
  <c r="BA59" i="28"/>
  <c r="N59" i="28"/>
  <c r="I59" i="28"/>
  <c r="I62" i="28" s="1"/>
  <c r="BM40" i="27"/>
  <c r="BK37" i="27"/>
  <c r="BH39" i="27"/>
  <c r="U44" i="27"/>
  <c r="Y44" i="27" s="1"/>
  <c r="AD44" i="27" s="1"/>
  <c r="AH44" i="27" s="1"/>
  <c r="AM44" i="27" s="1"/>
  <c r="AQ44" i="27" s="1"/>
  <c r="AU44" i="27" s="1"/>
  <c r="AZ44" i="27" s="1"/>
  <c r="BD44" i="27" s="1"/>
  <c r="BF44" i="27" s="1"/>
  <c r="Z11" i="29"/>
  <c r="Z18" i="29"/>
  <c r="AE59" i="28"/>
  <c r="BI40" i="28"/>
  <c r="BE59" i="28"/>
  <c r="AN59" i="28"/>
  <c r="T59" i="28"/>
  <c r="K59" i="28"/>
  <c r="S46" i="28"/>
  <c r="S59" i="28" s="1"/>
  <c r="R12" i="28"/>
  <c r="R11" i="28" s="1"/>
  <c r="W59" i="28"/>
  <c r="AY59" i="28"/>
  <c r="AF59" i="28"/>
  <c r="BH38" i="28"/>
  <c r="AP59" i="28"/>
  <c r="BK12" i="28"/>
  <c r="G59" i="28"/>
  <c r="G61" i="28" s="1"/>
  <c r="BK46" i="28"/>
  <c r="BJ40" i="28"/>
  <c r="BB59" i="28"/>
  <c r="BJ46" i="28"/>
  <c r="AV59" i="28"/>
  <c r="BK32" i="27"/>
  <c r="BI33" i="27"/>
  <c r="BK33" i="27" s="1"/>
  <c r="J43" i="27"/>
  <c r="N43" i="27" s="1"/>
  <c r="S43" i="27" s="1"/>
  <c r="W43" i="27" s="1"/>
  <c r="AB43" i="27" s="1"/>
  <c r="AF43" i="27" s="1"/>
  <c r="AK43" i="27" s="1"/>
  <c r="AO43" i="27" s="1"/>
  <c r="AS43" i="27" s="1"/>
  <c r="AX43" i="27" s="1"/>
  <c r="BB43" i="27" s="1"/>
  <c r="BE43" i="27" s="1"/>
  <c r="BH36" i="27"/>
  <c r="BI36" i="27"/>
  <c r="BK36" i="27" s="1"/>
  <c r="Z38" i="27"/>
  <c r="BG38" i="27" s="1"/>
  <c r="Z41" i="27"/>
  <c r="BI14" i="27"/>
  <c r="BK31" i="27"/>
  <c r="BI39" i="27"/>
  <c r="BK39" i="27" s="1"/>
  <c r="M42" i="27"/>
  <c r="Q42" i="27" s="1"/>
  <c r="R42" i="27" s="1"/>
  <c r="V42" i="27" s="1"/>
  <c r="BK35" i="27"/>
  <c r="Z40" i="27"/>
  <c r="BH32" i="27"/>
  <c r="BI22" i="27"/>
  <c r="BK22" i="27" s="1"/>
  <c r="BJ41" i="27"/>
  <c r="BM31" i="27"/>
  <c r="BM41" i="27" s="1"/>
  <c r="BH37" i="27"/>
  <c r="BH31" i="27"/>
  <c r="BI28" i="27"/>
  <c r="BK28" i="27" s="1"/>
  <c r="BH33" i="27"/>
  <c r="Q40" i="27"/>
  <c r="BH35" i="27"/>
  <c r="BM13" i="24"/>
  <c r="H11" i="24" s="1"/>
  <c r="BL13" i="24"/>
  <c r="BK13" i="24"/>
  <c r="BH13" i="24"/>
  <c r="BF13" i="24"/>
  <c r="BE13" i="24"/>
  <c r="BD13" i="24"/>
  <c r="BB13" i="24"/>
  <c r="BA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J59" i="28" l="1"/>
  <c r="BG40" i="27"/>
  <c r="BH40" i="27" s="1"/>
  <c r="BH38" i="27"/>
  <c r="Z19" i="29"/>
  <c r="AA19" i="29" s="1"/>
  <c r="AE19" i="29" s="1"/>
  <c r="BK59" i="28"/>
  <c r="BJ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Y61" i="28" s="1"/>
  <c r="BC61" i="28" s="1"/>
  <c r="M62" i="28"/>
  <c r="Q62" i="28" s="1"/>
  <c r="V62" i="28" s="1"/>
  <c r="Z62" i="28" s="1"/>
  <c r="AE62" i="28" s="1"/>
  <c r="AI62" i="28" s="1"/>
  <c r="AN62" i="28" s="1"/>
  <c r="AR62" i="28" s="1"/>
  <c r="AV62" i="28" s="1"/>
  <c r="BA62" i="28" s="1"/>
  <c r="BE62" i="28" s="1"/>
  <c r="Z42" i="27"/>
  <c r="AA42" i="27" s="1"/>
  <c r="AE42" i="27" s="1"/>
  <c r="BH41" i="27"/>
  <c r="BG11" i="29"/>
  <c r="BG18" i="29"/>
  <c r="BK11" i="28"/>
  <c r="AA12" i="28"/>
  <c r="AA11" i="28" s="1"/>
  <c r="AA59" i="28" s="1"/>
  <c r="R59" i="28"/>
  <c r="BG41" i="27"/>
  <c r="BK14" i="27"/>
  <c r="BK41" i="27" s="1"/>
  <c r="BI38" i="27"/>
  <c r="BK38" i="27" s="1"/>
  <c r="BI41" i="27"/>
  <c r="BI40" i="27"/>
  <c r="BK40" i="27" s="1"/>
  <c r="G11" i="24"/>
  <c r="G13" i="24"/>
  <c r="D32" i="24"/>
  <c r="D42" i="24" s="1"/>
  <c r="C32" i="24"/>
  <c r="AI19" i="29" l="1"/>
  <c r="AJ19" i="29" s="1"/>
  <c r="AN19" i="29" s="1"/>
  <c r="AR19" i="29" s="1"/>
  <c r="AI42" i="27"/>
  <c r="AJ42" i="27" s="1"/>
  <c r="AN42" i="27" s="1"/>
  <c r="AR42" i="27" s="1"/>
  <c r="R60" i="28"/>
  <c r="S60" i="28" s="1"/>
  <c r="W60" i="28" s="1"/>
  <c r="AA60" i="28" s="1"/>
  <c r="AB60" i="28" s="1"/>
  <c r="AF60" i="28" s="1"/>
  <c r="BH12" i="28"/>
  <c r="BH59" i="28" s="1"/>
  <c r="BI12" i="28"/>
  <c r="BI59" i="28" s="1"/>
  <c r="BN13" i="24"/>
  <c r="BA19" i="29" l="1"/>
  <c r="BA42" i="27"/>
  <c r="AV42" i="27"/>
  <c r="BI11" i="28"/>
  <c r="AJ60" i="28"/>
  <c r="AK60" i="28" s="1"/>
  <c r="AO60" i="28" s="1"/>
  <c r="AS60" i="28" s="1"/>
  <c r="BH11" i="28"/>
  <c r="P32" i="24"/>
  <c r="N32" i="24"/>
  <c r="M32" i="24"/>
  <c r="I32" i="24"/>
  <c r="AW60" i="28" l="1"/>
  <c r="AX60" i="28" s="1"/>
  <c r="BB60" i="28" s="1"/>
  <c r="E32" i="24"/>
  <c r="E42" i="24" s="1"/>
  <c r="B32" i="24"/>
  <c r="BF32" i="24"/>
  <c r="AI32" i="24"/>
  <c r="AU32" i="24"/>
  <c r="W32" i="24"/>
  <c r="AV32" i="24"/>
  <c r="BK32" i="24"/>
  <c r="BA32" i="24"/>
  <c r="AO32" i="24"/>
  <c r="AC32" i="24"/>
  <c r="Q32" i="24"/>
  <c r="BB32" i="24"/>
  <c r="AE32" i="24"/>
  <c r="AY32" i="24"/>
  <c r="AN32" i="24"/>
  <c r="AA32" i="24"/>
  <c r="Y32" i="24"/>
  <c r="R32" i="24"/>
  <c r="BD32" i="24"/>
  <c r="AF32" i="24"/>
  <c r="T32" i="24"/>
  <c r="AS32" i="24"/>
  <c r="AH32" i="24"/>
  <c r="AW32" i="24"/>
  <c r="AL32" i="24"/>
  <c r="Z32" i="24"/>
  <c r="BH32" i="24"/>
  <c r="AQ32" i="24"/>
  <c r="V32" i="24"/>
  <c r="I35" i="24"/>
  <c r="BO38" i="24" l="1"/>
  <c r="L32" i="24"/>
  <c r="L35" i="24" s="1"/>
  <c r="J32" i="24"/>
  <c r="I39" i="24" s="1"/>
  <c r="AR32" i="24"/>
  <c r="AR36" i="24" s="1"/>
  <c r="BE32" i="24"/>
  <c r="BE37" i="24" s="1"/>
  <c r="AJ32" i="24"/>
  <c r="AI37" i="24" s="1"/>
  <c r="F32" i="24"/>
  <c r="F42" i="24" s="1"/>
  <c r="G32" i="24"/>
  <c r="G10" i="24" s="1"/>
  <c r="M35" i="24"/>
  <c r="Q35" i="24" s="1"/>
  <c r="V36" i="24"/>
  <c r="AE36" i="24"/>
  <c r="AV37" i="24"/>
  <c r="AN37" i="24"/>
  <c r="Z36" i="24"/>
  <c r="M37" i="24"/>
  <c r="M36" i="24"/>
  <c r="BA37" i="24"/>
  <c r="BA36" i="24"/>
  <c r="V37" i="24"/>
  <c r="Q37" i="24"/>
  <c r="Q36" i="24"/>
  <c r="U35" i="24" l="1"/>
  <c r="V35" i="24" s="1"/>
  <c r="Z35" i="24" s="1"/>
  <c r="I38" i="24"/>
  <c r="I36" i="24"/>
  <c r="AI36" i="24"/>
  <c r="BE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W35" i="24"/>
  <c r="V38" i="24" s="1"/>
  <c r="Q39" i="24"/>
  <c r="AH35" i="24"/>
  <c r="BA35" i="24" l="1"/>
  <c r="BE35" i="24" s="1"/>
  <c r="AZ35" i="24"/>
  <c r="V39" i="24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D35" i="24"/>
  <c r="AR38" i="24" l="1"/>
  <c r="AR39" i="24"/>
  <c r="AV39" i="24"/>
  <c r="AV38" i="24"/>
  <c r="BB35" i="24"/>
  <c r="BH35" i="24"/>
  <c r="BA38" i="24" l="1"/>
  <c r="BF35" i="24"/>
  <c r="BA39" i="24"/>
  <c r="BE38" i="24" l="1"/>
  <c r="BE39" i="24"/>
  <c r="BI13" i="24" l="1"/>
  <c r="BI32" i="24" s="1"/>
  <c r="BJ13" i="24"/>
  <c r="BJ32" i="24" s="1"/>
  <c r="BJ35" i="24" s="1"/>
  <c r="BM32" i="24" l="1"/>
  <c r="BO40" i="24" l="1"/>
  <c r="BO36" i="24"/>
  <c r="BL32" i="24" l="1"/>
  <c r="BO35" i="24" s="1"/>
  <c r="H32" i="24"/>
  <c r="H10" i="24" s="1"/>
  <c r="BN32" i="24" l="1"/>
  <c r="BO13" i="24"/>
  <c r="B42" i="24" l="1"/>
  <c r="L42" i="24" l="1"/>
  <c r="T42" i="24"/>
  <c r="AY42" i="24"/>
  <c r="BD42" i="24"/>
  <c r="BH42" i="24"/>
  <c r="BJ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<sst xmlns="http://schemas.openxmlformats.org/spreadsheetml/2006/main" count="455" uniqueCount="237">
  <si>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</si>
  <si>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</si>
  <si>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</si>
  <si>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</si>
  <si>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</si>
  <si>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</si>
  <si>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</si>
  <si>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</si>
  <si>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</si>
  <si>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</si>
  <si>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</si>
  <si>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</si>
  <si>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</si>
  <si>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</si>
  <si>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</si>
  <si>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</si>
  <si>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</si>
  <si>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</si>
  <si>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</si>
  <si>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</si>
  <si>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</si>
  <si>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</si>
  <si>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</si>
  <si>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</si>
  <si>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</si>
  <si>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</si>
  <si>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</si>
  <si>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</si>
  <si>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</si>
  <si>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</si>
  <si>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</si>
  <si>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</si>
  <si>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</si>
  <si>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</si>
  <si>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</si>
  <si>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</si>
  <si>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</si>
  <si>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</si>
  <si>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</si>
  <si>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</si>
  <si>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</si>
  <si>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</si>
  <si>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</si>
  <si>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</si>
  <si>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</si>
  <si>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</si>
  <si>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</si>
  <si>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</si>
  <si>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</si>
  <si>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</si>
  <si>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</si>
  <si>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</si>
  <si>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</si>
  <si>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</si>
  <si>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</si>
  <si>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</si>
  <si>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</si>
  <si>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</si>
  <si>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</si>
  <si>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</si>
  <si>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</si>
  <si>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</si>
  <si>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</si>
  <si>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</si>
  <si>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</si>
  <si>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</si>
  <si>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</si>
  <si>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</si>
  <si>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</si>
  <si>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</si>
  <si>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</si>
  <si>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</si>
  <si>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</si>
  <si>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</si>
  <si>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</si>
  <si>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</si>
  <si>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</si>
  <si>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</si>
  <si>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</si>
  <si>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</si>
  <si>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</si>
  <si>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</si>
  <si>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</si>
  <si>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</si>
  <si>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</si>
  <si>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</si>
  <si>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</si>
  <si>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</si>
  <si>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</si>
  <si>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</si>
  <si>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</si>
  <si>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</si>
  <si>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</si>
  <si>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</si>
  <si>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</si>
  <si>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</si>
  <si>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</si>
  <si>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</si>
  <si>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</si>
  <si>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</si>
  <si>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</si>
  <si>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</si>
  <si>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</si>
  <si>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</si>
  <si>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</si>
  <si>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</si>
  <si>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</si>
  <si>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</si>
  <si>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</si>
  <si>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</si>
  <si>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</si>
  <si>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</si>
  <si>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</si>
  <si>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</si>
  <si>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</si>
  <si>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</si>
  <si>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</si>
  <si>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</si>
  <si>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</si>
  <si>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</si>
  <si>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</si>
  <si>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</si>
  <si>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</si>
  <si>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</si>
  <si>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</si>
  <si>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</si>
  <si>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</si>
  <si>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</si>
  <si>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</si>
  <si>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</si>
  <si>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</si>
  <si>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</si>
  <si>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</si>
  <si>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</si>
  <si>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</si>
  <si>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</si>
  <si>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</si>
  <si>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</si>
  <si>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</si>
  <si>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</si>
  <si>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</si>
  <si>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</si>
  <si>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</si>
  <si>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</si>
  <si>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</si>
  <si>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</si>
  <si>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</si>
  <si>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</si>
  <si>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</si>
  <si>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</si>
  <si>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</si>
  <si>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</si>
  <si>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</si>
  <si>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</si>
  <si>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</si>
  <si>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</si>
  <si>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</si>
  <si>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</si>
  <si>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</si>
  <si>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</si>
  <si>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</si>
  <si>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</si>
  <si>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</si>
  <si>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</si>
  <si>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</si>
  <si>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</si>
  <si>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</si>
  <si>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</si>
  <si>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</si>
  <si>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</si>
  <si>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</si>
  <si>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</si>
  <si>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</si>
  <si>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</si>
  <si>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</si>
  <si>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</si>
  <si>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</si>
  <si>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</si>
  <si>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</si>
  <si>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</si>
  <si>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</si>
  <si>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</si>
  <si>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</si>
  <si>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</si>
  <si>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</si>
  <si>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</si>
  <si>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</si>
  <si>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</si>
  <si>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</si>
  <si>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</si>
  <si>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</si>
  <si>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</si>
  <si>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</si>
  <si>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</si>
  <si>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</si>
  <si>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</si>
  <si>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</si>
  <si>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</si>
  <si>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</si>
  <si>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</si>
  <si>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</si>
  <si>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</si>
  <si>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</si>
  <si>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</si>
  <si>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</si>
  <si>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</si>
  <si>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</si>
  <si>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</si>
  <si>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</si>
  <si>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</si>
  <si>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</si>
  <si>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</si>
  <si>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</si>
  <si>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</si>
  <si>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</si>
  <si>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</si>
  <si>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</si>
  <si>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</si>
  <si>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</si>
  <si>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</si>
  <si>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</si>
  <si>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</si>
  <si>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</si>
  <si>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</si>
  <si>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</si>
  <si>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</si>
  <si>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</si>
  <si>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</si>
  <si>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</si>
  <si>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</si>
  <si>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</si>
  <si>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</si>
  <si>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</si>
  <si>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</si>
  <si>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</si>
  <si>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Q4 Baseline Adjustment</t>
  </si>
  <si>
    <t>As of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</si>
</sst>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5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44" fontId="10" fillId="0" borderId="144" xfId="1" applyFont="1" applyFill="1" applyBorder="1" applyAlignment="1">
      <alignment vertical="center" wrapText="1"/>
    </xf>
    <xf numFmtId="44" fontId="10" fillId="11" borderId="144" xfId="1" applyFont="1" applyFill="1" applyBorder="1" applyAlignment="1">
      <alignment vertical="center" wrapText="1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8" fillId="12" borderId="27" xfId="0" applyNumberFormat="1" applyFont="1" applyFill="1" applyBorder="1" applyAlignment="1">
      <alignment horizontal="center"/>
    </xf>
    <xf numFmtId="44" fontId="8" fillId="13" borderId="27" xfId="0" applyNumberFormat="1" applyFont="1" applyFill="1" applyBorder="1" applyAlignment="1">
      <alignment horizont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1</v>
          </cell>
          <cell r="G94">
            <v>0</v>
          </cell>
          <cell r="H94">
            <v>194227</v>
          </cell>
          <cell r="AM94">
            <v>0</v>
          </cell>
          <cell r="AZ94">
            <v>0</v>
          </cell>
        </row>
        <row r="95"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X95">
            <v>0</v>
          </cell>
          <cell r="AY95">
            <v>0</v>
          </cell>
          <cell r="AZ95">
            <v>0</v>
          </cell>
          <cell r="BB95">
            <v>0</v>
          </cell>
          <cell r="BC95">
            <v>0</v>
          </cell>
          <cell r="BD95">
            <v>0</v>
          </cell>
          <cell r="BF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N96">
            <v>0</v>
          </cell>
          <cell r="AQ96">
            <v>0</v>
          </cell>
          <cell r="AR96">
            <v>0</v>
          </cell>
          <cell r="AU96">
            <v>0</v>
          </cell>
          <cell r="AV96">
            <v>0</v>
          </cell>
          <cell r="AY96">
            <v>0</v>
          </cell>
          <cell r="BB96">
            <v>0</v>
          </cell>
          <cell r="BD96">
            <v>0</v>
          </cell>
          <cell r="BF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N97">
            <v>0</v>
          </cell>
          <cell r="AQ97">
            <v>0</v>
          </cell>
          <cell r="AR97">
            <v>0</v>
          </cell>
          <cell r="AU97">
            <v>0</v>
          </cell>
          <cell r="AV97">
            <v>0</v>
          </cell>
          <cell r="AY97">
            <v>0</v>
          </cell>
          <cell r="BB97">
            <v>0</v>
          </cell>
          <cell r="BD97">
            <v>0</v>
          </cell>
          <cell r="BF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N98">
            <v>0</v>
          </cell>
          <cell r="AQ98">
            <v>0</v>
          </cell>
          <cell r="AR98">
            <v>0</v>
          </cell>
          <cell r="AU98">
            <v>0</v>
          </cell>
          <cell r="AV98">
            <v>0</v>
          </cell>
          <cell r="AY98">
            <v>0</v>
          </cell>
          <cell r="BB98">
            <v>0</v>
          </cell>
          <cell r="BD98">
            <v>0</v>
          </cell>
          <cell r="BF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N99">
            <v>0</v>
          </cell>
          <cell r="AQ99">
            <v>0</v>
          </cell>
          <cell r="AR99">
            <v>0</v>
          </cell>
          <cell r="AU99">
            <v>0</v>
          </cell>
          <cell r="AV99">
            <v>0</v>
          </cell>
          <cell r="AY99">
            <v>0</v>
          </cell>
          <cell r="BB99">
            <v>0</v>
          </cell>
          <cell r="BD99">
            <v>0</v>
          </cell>
          <cell r="BF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N100">
            <v>0</v>
          </cell>
          <cell r="AQ100">
            <v>0</v>
          </cell>
          <cell r="AR100">
            <v>0</v>
          </cell>
          <cell r="AU100">
            <v>0</v>
          </cell>
          <cell r="AV100">
            <v>0</v>
          </cell>
          <cell r="AY100">
            <v>0</v>
          </cell>
          <cell r="BB100">
            <v>0</v>
          </cell>
          <cell r="BD100">
            <v>0</v>
          </cell>
          <cell r="BF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N101">
            <v>0</v>
          </cell>
          <cell r="AQ101">
            <v>0</v>
          </cell>
          <cell r="AR101">
            <v>0</v>
          </cell>
          <cell r="AU101">
            <v>0</v>
          </cell>
          <cell r="AV101">
            <v>0</v>
          </cell>
          <cell r="AY101">
            <v>0</v>
          </cell>
          <cell r="BB101">
            <v>0</v>
          </cell>
          <cell r="BD101">
            <v>0</v>
          </cell>
          <cell r="BF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N102">
            <v>0</v>
          </cell>
          <cell r="AQ102">
            <v>0</v>
          </cell>
          <cell r="AR102">
            <v>0</v>
          </cell>
          <cell r="AU102">
            <v>0</v>
          </cell>
          <cell r="AV102">
            <v>0</v>
          </cell>
          <cell r="AY102">
            <v>0</v>
          </cell>
          <cell r="BB102">
            <v>0</v>
          </cell>
          <cell r="BD102">
            <v>0</v>
          </cell>
          <cell r="BF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N103">
            <v>0</v>
          </cell>
          <cell r="AQ103">
            <v>0</v>
          </cell>
          <cell r="AR103">
            <v>0</v>
          </cell>
          <cell r="AU103">
            <v>0</v>
          </cell>
          <cell r="AV103">
            <v>0</v>
          </cell>
          <cell r="AY103">
            <v>0</v>
          </cell>
          <cell r="BB103">
            <v>0</v>
          </cell>
          <cell r="BD103">
            <v>0</v>
          </cell>
          <cell r="BF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N104">
            <v>0</v>
          </cell>
          <cell r="AQ104">
            <v>0</v>
          </cell>
          <cell r="AR104">
            <v>0</v>
          </cell>
          <cell r="AU104">
            <v>0</v>
          </cell>
          <cell r="AV104">
            <v>0</v>
          </cell>
          <cell r="AY104">
            <v>0</v>
          </cell>
          <cell r="BB104">
            <v>0</v>
          </cell>
          <cell r="BD104">
            <v>0</v>
          </cell>
          <cell r="BF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78">
          <cell r="E178">
            <v>72323194</v>
          </cell>
          <cell r="F178">
            <v>16681816</v>
          </cell>
          <cell r="H178">
            <v>55641378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W58"/>
  <sheetViews>
    <sheetView tabSelected="1" topLeftCell="A12" zoomScaleNormal="100" workbookViewId="0">
      <pane xSplit="1" topLeftCell="D1" activePane="topRight" state="frozen"/>
      <selection activeCell="A5" sqref="A5"/>
      <selection pane="topRight" activeCell="A17" sqref="A17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2" width="17.7109375" style="335" customWidth="1"/>
    <col min="53" max="54" width="17.7109375" style="197" customWidth="1"/>
    <col min="55" max="55" width="1.85546875" style="197" customWidth="1"/>
    <col min="56" max="56" width="17.7109375" style="197" hidden="1" customWidth="1"/>
    <col min="57" max="58" width="17.7109375" style="197" customWidth="1"/>
    <col min="59" max="59" width="1.85546875" style="197" customWidth="1"/>
    <col min="60" max="62" width="17.7109375" style="197" hidden="1" customWidth="1"/>
    <col min="63" max="64" width="19.85546875" style="214" bestFit="1" customWidth="1"/>
    <col min="65" max="65" width="18.28515625" style="214" customWidth="1"/>
    <col min="66" max="66" width="17.42578125" style="214" customWidth="1"/>
    <col min="67" max="67" width="17.7109375" style="214" customWidth="1"/>
    <col min="68" max="68" width="17.7109375" style="197" bestFit="1" customWidth="1"/>
    <col min="69" max="69" width="19" style="197" customWidth="1"/>
    <col min="70" max="16384" width="50.28515625" style="197"/>
  </cols>
  <sheetData>
    <row r="2" spans="1:67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2"/>
      <c r="BL2" s="2"/>
      <c r="BM2" s="2"/>
    </row>
    <row r="3" spans="1:67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7"/>
      <c r="BL3" s="5"/>
      <c r="BM3" s="5"/>
    </row>
    <row r="4" spans="1:67" x14ac:dyDescent="0.2">
      <c r="BK4" s="215"/>
    </row>
    <row r="5" spans="1:67" x14ac:dyDescent="0.2">
      <c r="M5" s="234"/>
      <c r="P5" s="234"/>
      <c r="AS5" s="250"/>
      <c r="BK5" s="227"/>
    </row>
    <row r="6" spans="1:67" ht="15.75" x14ac:dyDescent="0.25">
      <c r="A6" s="142" t="s">
        <v>3</v>
      </c>
      <c r="M6" s="199"/>
      <c r="P6" s="234"/>
      <c r="AF6" s="199"/>
      <c r="AH6" s="250"/>
      <c r="BK6" s="227"/>
    </row>
    <row r="7" spans="1:67" ht="15.75" x14ac:dyDescent="0.25">
      <c r="A7" s="6" t="s">
        <v>155</v>
      </c>
      <c r="F7" s="215"/>
      <c r="G7" s="215"/>
      <c r="H7" s="215"/>
    </row>
    <row r="8" spans="1:67" ht="15" thickBot="1" x14ac:dyDescent="0.25">
      <c r="A8" s="335" t="s">
        <v>236</v>
      </c>
      <c r="F8" s="215"/>
      <c r="G8" s="215"/>
    </row>
    <row r="9" spans="1:67" ht="16.149999999999999" customHeight="1" thickBot="1" x14ac:dyDescent="0.25">
      <c r="A9" s="249"/>
      <c r="B9" s="523" t="s">
        <v>4</v>
      </c>
      <c r="C9" s="524"/>
      <c r="D9" s="524"/>
      <c r="E9" s="524"/>
      <c r="F9" s="524"/>
      <c r="G9" s="524"/>
      <c r="H9" s="525"/>
    </row>
    <row r="10" spans="1:67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26" t="s">
        <v>143</v>
      </c>
      <c r="J10" s="527"/>
      <c r="K10" s="527"/>
      <c r="L10" s="527"/>
      <c r="M10" s="528" t="s">
        <v>144</v>
      </c>
      <c r="N10" s="529"/>
      <c r="O10" s="529"/>
      <c r="P10" s="530"/>
      <c r="Q10" s="526" t="s">
        <v>145</v>
      </c>
      <c r="R10" s="527"/>
      <c r="S10" s="527"/>
      <c r="T10" s="531"/>
      <c r="U10" s="517" t="s">
        <v>219</v>
      </c>
      <c r="V10" s="528" t="s">
        <v>146</v>
      </c>
      <c r="W10" s="521"/>
      <c r="X10" s="521"/>
      <c r="Y10" s="522"/>
      <c r="Z10" s="526" t="s">
        <v>147</v>
      </c>
      <c r="AA10" s="532"/>
      <c r="AB10" s="532"/>
      <c r="AC10" s="533"/>
      <c r="AD10" s="517" t="s">
        <v>232</v>
      </c>
      <c r="AE10" s="528" t="s">
        <v>148</v>
      </c>
      <c r="AF10" s="521"/>
      <c r="AG10" s="521"/>
      <c r="AH10" s="522"/>
      <c r="AI10" s="526" t="s">
        <v>149</v>
      </c>
      <c r="AJ10" s="532"/>
      <c r="AK10" s="532"/>
      <c r="AL10" s="533"/>
      <c r="AM10" s="517" t="s">
        <v>234</v>
      </c>
      <c r="AN10" s="528" t="s">
        <v>150</v>
      </c>
      <c r="AO10" s="529"/>
      <c r="AP10" s="529"/>
      <c r="AQ10" s="530"/>
      <c r="AR10" s="526" t="s">
        <v>151</v>
      </c>
      <c r="AS10" s="527"/>
      <c r="AT10" s="527"/>
      <c r="AU10" s="531"/>
      <c r="AV10" s="528" t="s">
        <v>152</v>
      </c>
      <c r="AW10" s="529"/>
      <c r="AX10" s="529"/>
      <c r="AY10" s="530"/>
      <c r="AZ10" s="517" t="s">
        <v>235</v>
      </c>
      <c r="BA10" s="526" t="s">
        <v>153</v>
      </c>
      <c r="BB10" s="532"/>
      <c r="BC10" s="532"/>
      <c r="BD10" s="533"/>
      <c r="BE10" s="528" t="s">
        <v>154</v>
      </c>
      <c r="BF10" s="521"/>
      <c r="BG10" s="521"/>
      <c r="BH10" s="522"/>
      <c r="BI10" s="542" t="s">
        <v>156</v>
      </c>
      <c r="BJ10" s="531"/>
      <c r="BK10" s="520" t="s">
        <v>5</v>
      </c>
      <c r="BL10" s="521"/>
      <c r="BM10" s="522"/>
      <c r="BN10" s="8"/>
      <c r="BO10" s="8"/>
    </row>
    <row r="11" spans="1:67" ht="15" customHeight="1" thickBot="1" x14ac:dyDescent="0.25">
      <c r="A11" s="544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42379233</v>
      </c>
      <c r="F11" s="329">
        <f>F13</f>
        <v>13681816</v>
      </c>
      <c r="G11" s="329">
        <f>SUM(G14:G24)</f>
        <v>38267043.668333329</v>
      </c>
      <c r="H11" s="329">
        <f>H13</f>
        <v>12504798.504999999</v>
      </c>
      <c r="I11" s="534" t="s">
        <v>7</v>
      </c>
      <c r="J11" s="536" t="s">
        <v>8</v>
      </c>
      <c r="K11" s="31"/>
      <c r="L11" s="538" t="s">
        <v>9</v>
      </c>
      <c r="M11" s="534" t="s">
        <v>7</v>
      </c>
      <c r="N11" s="536" t="s">
        <v>8</v>
      </c>
      <c r="O11" s="31"/>
      <c r="P11" s="538" t="s">
        <v>9</v>
      </c>
      <c r="Q11" s="534" t="s">
        <v>7</v>
      </c>
      <c r="R11" s="536" t="s">
        <v>8</v>
      </c>
      <c r="S11" s="31"/>
      <c r="T11" s="538" t="s">
        <v>9</v>
      </c>
      <c r="U11" s="518"/>
      <c r="V11" s="534" t="s">
        <v>7</v>
      </c>
      <c r="W11" s="536" t="s">
        <v>8</v>
      </c>
      <c r="X11" s="31"/>
      <c r="Y11" s="538" t="s">
        <v>9</v>
      </c>
      <c r="Z11" s="534" t="s">
        <v>7</v>
      </c>
      <c r="AA11" s="536" t="s">
        <v>8</v>
      </c>
      <c r="AB11" s="31"/>
      <c r="AC11" s="538" t="s">
        <v>9</v>
      </c>
      <c r="AD11" s="518"/>
      <c r="AE11" s="534" t="s">
        <v>7</v>
      </c>
      <c r="AF11" s="536" t="s">
        <v>8</v>
      </c>
      <c r="AG11" s="31"/>
      <c r="AH11" s="538" t="s">
        <v>9</v>
      </c>
      <c r="AI11" s="534" t="s">
        <v>7</v>
      </c>
      <c r="AJ11" s="536" t="s">
        <v>8</v>
      </c>
      <c r="AK11" s="31"/>
      <c r="AL11" s="538" t="s">
        <v>9</v>
      </c>
      <c r="AM11" s="518"/>
      <c r="AN11" s="534" t="s">
        <v>7</v>
      </c>
      <c r="AO11" s="536" t="s">
        <v>8</v>
      </c>
      <c r="AP11" s="31"/>
      <c r="AQ11" s="538" t="s">
        <v>9</v>
      </c>
      <c r="AR11" s="534" t="s">
        <v>7</v>
      </c>
      <c r="AS11" s="536" t="s">
        <v>8</v>
      </c>
      <c r="AT11" s="31"/>
      <c r="AU11" s="538" t="s">
        <v>9</v>
      </c>
      <c r="AV11" s="534" t="s">
        <v>7</v>
      </c>
      <c r="AW11" s="536" t="s">
        <v>8</v>
      </c>
      <c r="AX11" s="31"/>
      <c r="AY11" s="538" t="s">
        <v>9</v>
      </c>
      <c r="AZ11" s="518"/>
      <c r="BA11" s="534" t="s">
        <v>7</v>
      </c>
      <c r="BB11" s="536" t="s">
        <v>8</v>
      </c>
      <c r="BC11" s="31"/>
      <c r="BD11" s="538" t="s">
        <v>9</v>
      </c>
      <c r="BE11" s="534" t="s">
        <v>7</v>
      </c>
      <c r="BF11" s="536" t="s">
        <v>8</v>
      </c>
      <c r="BG11" s="31"/>
      <c r="BH11" s="563" t="s">
        <v>9</v>
      </c>
      <c r="BI11" s="565" t="s">
        <v>10</v>
      </c>
      <c r="BJ11" s="543" t="s">
        <v>11</v>
      </c>
      <c r="BK11" s="540" t="s">
        <v>12</v>
      </c>
      <c r="BL11" s="549" t="s">
        <v>13</v>
      </c>
      <c r="BM11" s="551" t="s">
        <v>14</v>
      </c>
      <c r="BN11" s="553" t="s">
        <v>15</v>
      </c>
      <c r="BO11" s="555" t="s">
        <v>16</v>
      </c>
    </row>
    <row r="12" spans="1:67" ht="78" customHeight="1" thickBot="1" x14ac:dyDescent="0.25">
      <c r="A12" s="545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35"/>
      <c r="J12" s="537"/>
      <c r="K12" s="32"/>
      <c r="L12" s="539"/>
      <c r="M12" s="535"/>
      <c r="N12" s="537"/>
      <c r="O12" s="32"/>
      <c r="P12" s="539"/>
      <c r="Q12" s="535"/>
      <c r="R12" s="537"/>
      <c r="S12" s="32"/>
      <c r="T12" s="539"/>
      <c r="U12" s="519" t="s">
        <v>220</v>
      </c>
      <c r="V12" s="535"/>
      <c r="W12" s="537"/>
      <c r="X12" s="32"/>
      <c r="Y12" s="539"/>
      <c r="Z12" s="535"/>
      <c r="AA12" s="537"/>
      <c r="AB12" s="32"/>
      <c r="AC12" s="539"/>
      <c r="AD12" s="519" t="s">
        <v>220</v>
      </c>
      <c r="AE12" s="535"/>
      <c r="AF12" s="537"/>
      <c r="AG12" s="32"/>
      <c r="AH12" s="539"/>
      <c r="AI12" s="535"/>
      <c r="AJ12" s="537"/>
      <c r="AK12" s="32"/>
      <c r="AL12" s="539"/>
      <c r="AM12" s="519" t="s">
        <v>220</v>
      </c>
      <c r="AN12" s="535"/>
      <c r="AO12" s="537"/>
      <c r="AP12" s="32"/>
      <c r="AQ12" s="539"/>
      <c r="AR12" s="535"/>
      <c r="AS12" s="537"/>
      <c r="AT12" s="32"/>
      <c r="AU12" s="539"/>
      <c r="AV12" s="535"/>
      <c r="AW12" s="537"/>
      <c r="AX12" s="32"/>
      <c r="AY12" s="539"/>
      <c r="AZ12" s="519" t="s">
        <v>220</v>
      </c>
      <c r="BA12" s="535"/>
      <c r="BB12" s="537"/>
      <c r="BC12" s="32"/>
      <c r="BD12" s="539"/>
      <c r="BE12" s="535"/>
      <c r="BF12" s="537"/>
      <c r="BG12" s="32"/>
      <c r="BH12" s="564"/>
      <c r="BI12" s="566"/>
      <c r="BJ12" s="543"/>
      <c r="BK12" s="541"/>
      <c r="BL12" s="550"/>
      <c r="BM12" s="552"/>
      <c r="BN12" s="554"/>
      <c r="BO12" s="556"/>
    </row>
    <row r="13" spans="1:67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42379233</v>
      </c>
      <c r="F13" s="155">
        <v>13681816</v>
      </c>
      <c r="G13" s="155">
        <f>SUM(G14:G24)</f>
        <v>38267043.668333329</v>
      </c>
      <c r="H13" s="155">
        <f>E13-BL13</f>
        <v>12504798.504999999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6296159.5453293286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-3835392.249218218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4033261.5706666666</v>
      </c>
      <c r="AO13" s="168">
        <f>SUM(AO14:AO24)</f>
        <v>3971178.86</v>
      </c>
      <c r="AP13" s="169"/>
      <c r="AQ13" s="170">
        <f>SUM(AQ14:AQ24)</f>
        <v>851954.36999999988</v>
      </c>
      <c r="AR13" s="163">
        <f>SUM(AR14:AR24)</f>
        <v>1767062.8306666669</v>
      </c>
      <c r="AS13" s="168">
        <f>SUM(AS14:AS24)</f>
        <v>1224498.4700000002</v>
      </c>
      <c r="AT13" s="169"/>
      <c r="AU13" s="170">
        <f>SUM(AU14:AU24)</f>
        <v>4639171.87</v>
      </c>
      <c r="AV13" s="163">
        <f>SUM(AV14:AV24)</f>
        <v>2582712.2683571065</v>
      </c>
      <c r="AW13" s="168">
        <f>SUM(AW14:AW24)</f>
        <v>2274632.4700000002</v>
      </c>
      <c r="AX13" s="169"/>
      <c r="AY13" s="170">
        <f>SUM(AY14:AY24)</f>
        <v>1439189.2800000003</v>
      </c>
      <c r="AZ13" s="340">
        <f>SUM(AZ14:AZ24)</f>
        <v>-914283.50969043991</v>
      </c>
      <c r="BA13" s="163">
        <f>SUM(BA14:BA24)</f>
        <v>7081348.6316666668</v>
      </c>
      <c r="BB13" s="168">
        <f>SUM(BB14:BB24)</f>
        <v>0</v>
      </c>
      <c r="BC13" s="169"/>
      <c r="BD13" s="170">
        <f>SUM(BD14:BD24)</f>
        <v>0</v>
      </c>
      <c r="BE13" s="163">
        <f>SUM(BE14:BE24)</f>
        <v>1311260.5416666665</v>
      </c>
      <c r="BF13" s="168">
        <f>SUM(BF14:BF24)</f>
        <v>0</v>
      </c>
      <c r="BG13" s="169"/>
      <c r="BH13" s="170">
        <f>SUM(BH14:BH24)</f>
        <v>0</v>
      </c>
      <c r="BI13" s="183" t="e">
        <f t="shared" ref="BI13:BJ13" si="1">SUM(BI14:BI22)</f>
        <v>#REF!</v>
      </c>
      <c r="BJ13" s="172" t="e">
        <f t="shared" si="1"/>
        <v>#REF!</v>
      </c>
      <c r="BK13" s="175">
        <f>SUM(BK14:BK24)</f>
        <v>29874434.495000005</v>
      </c>
      <c r="BL13" s="41">
        <f>SUM(BL14:BL24)</f>
        <v>29874434.495000001</v>
      </c>
      <c r="BM13" s="37">
        <f>SUM(BM14:BM24)</f>
        <v>28599661.090000004</v>
      </c>
      <c r="BN13" s="43">
        <f>SUM(BN14:BN23)</f>
        <v>8392609.1733333338</v>
      </c>
      <c r="BO13" s="137">
        <f>SUM(BN13/G13)</f>
        <v>0.21931689435100965</v>
      </c>
    </row>
    <row r="14" spans="1:67" s="234" customFormat="1" ht="16.5" x14ac:dyDescent="0.2">
      <c r="A14" s="162" t="s">
        <v>22</v>
      </c>
      <c r="B14" s="571"/>
      <c r="C14" s="571"/>
      <c r="D14" s="571"/>
      <c r="E14" s="571"/>
      <c r="F14" s="571"/>
      <c r="G14" s="180">
        <f>SUM(I14+M14+Q14+V14+Z14+AE14+AI14+AN14+AR14+AV14+BA14+BE14)+U14+AD14+AM14+AZ14</f>
        <v>17198883</v>
      </c>
      <c r="H14" s="571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2081700</v>
      </c>
      <c r="AP14" s="165"/>
      <c r="AQ14" s="164">
        <v>0</v>
      </c>
      <c r="AR14" s="174">
        <v>0</v>
      </c>
      <c r="AS14" s="181">
        <v>0</v>
      </c>
      <c r="AT14" s="165"/>
      <c r="AU14" s="164">
        <v>2081700</v>
      </c>
      <c r="AV14" s="174">
        <v>0</v>
      </c>
      <c r="AW14" s="181">
        <v>0</v>
      </c>
      <c r="AX14" s="165"/>
      <c r="AY14" s="164">
        <v>0</v>
      </c>
      <c r="AZ14" s="341">
        <v>0</v>
      </c>
      <c r="BA14" s="174">
        <v>3863167</v>
      </c>
      <c r="BB14" s="181">
        <v>0</v>
      </c>
      <c r="BC14" s="165"/>
      <c r="BD14" s="164">
        <v>0</v>
      </c>
      <c r="BE14" s="174">
        <v>0</v>
      </c>
      <c r="BF14" s="181">
        <v>0</v>
      </c>
      <c r="BG14" s="165"/>
      <c r="BH14" s="164">
        <v>0</v>
      </c>
      <c r="BI14" s="36">
        <v>0</v>
      </c>
      <c r="BJ14" s="184">
        <v>0</v>
      </c>
      <c r="BK14" s="36">
        <v>13335716</v>
      </c>
      <c r="BL14" s="36">
        <v>13335716</v>
      </c>
      <c r="BM14" s="35">
        <v>13335716</v>
      </c>
      <c r="BN14" s="156">
        <v>3863167</v>
      </c>
      <c r="BO14" s="138">
        <v>0.22461731962476866</v>
      </c>
    </row>
    <row r="15" spans="1:67" s="234" customFormat="1" ht="15" customHeight="1" x14ac:dyDescent="0.2">
      <c r="A15" s="162" t="s">
        <v>23</v>
      </c>
      <c r="B15" s="572"/>
      <c r="C15" s="572"/>
      <c r="D15" s="572"/>
      <c r="E15" s="572"/>
      <c r="F15" s="572"/>
      <c r="G15" s="180">
        <f t="shared" ref="G15:G31" si="2">SUM(I15+M15+Q15+V15+Z15+AE15+AI15+AN15+AR15+AV15+BA15+BE15)+U15+AD15+AM15+AZ15</f>
        <v>415692</v>
      </c>
      <c r="H15" s="572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34641</v>
      </c>
      <c r="AP15" s="165"/>
      <c r="AQ15" s="173">
        <v>34641</v>
      </c>
      <c r="AR15" s="174">
        <v>34641</v>
      </c>
      <c r="AS15" s="173">
        <v>34641</v>
      </c>
      <c r="AT15" s="165"/>
      <c r="AU15" s="173">
        <v>34641</v>
      </c>
      <c r="AV15" s="174">
        <v>34641</v>
      </c>
      <c r="AW15" s="173">
        <v>34641</v>
      </c>
      <c r="AX15" s="165"/>
      <c r="AY15" s="173">
        <v>34641</v>
      </c>
      <c r="AZ15" s="341">
        <v>0</v>
      </c>
      <c r="BA15" s="174">
        <v>34641</v>
      </c>
      <c r="BB15" s="173">
        <v>0</v>
      </c>
      <c r="BC15" s="165"/>
      <c r="BD15" s="173">
        <v>0</v>
      </c>
      <c r="BE15" s="174">
        <v>34641</v>
      </c>
      <c r="BF15" s="173">
        <v>0</v>
      </c>
      <c r="BG15" s="165"/>
      <c r="BH15" s="173">
        <v>0</v>
      </c>
      <c r="BI15" s="174">
        <v>0</v>
      </c>
      <c r="BJ15" s="171">
        <v>0</v>
      </c>
      <c r="BK15" s="36">
        <v>346410</v>
      </c>
      <c r="BL15" s="36">
        <v>346410</v>
      </c>
      <c r="BM15" s="35">
        <v>346410</v>
      </c>
      <c r="BN15" s="156">
        <v>69282</v>
      </c>
      <c r="BO15" s="138">
        <v>0.16666666666666666</v>
      </c>
    </row>
    <row r="16" spans="1:67" s="234" customFormat="1" ht="16.5" x14ac:dyDescent="0.2">
      <c r="A16" s="162" t="s">
        <v>24</v>
      </c>
      <c r="B16" s="572"/>
      <c r="C16" s="572"/>
      <c r="D16" s="572"/>
      <c r="E16" s="572"/>
      <c r="F16" s="572"/>
      <c r="G16" s="180">
        <f t="shared" si="2"/>
        <v>9935896</v>
      </c>
      <c r="H16" s="572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710885</v>
      </c>
      <c r="AP16" s="165"/>
      <c r="AQ16" s="164">
        <v>0</v>
      </c>
      <c r="AR16" s="36">
        <v>710885</v>
      </c>
      <c r="AS16" s="173">
        <v>710885</v>
      </c>
      <c r="AT16" s="165"/>
      <c r="AU16" s="164">
        <v>1421770</v>
      </c>
      <c r="AV16" s="36">
        <v>907014</v>
      </c>
      <c r="AW16" s="173">
        <v>907014</v>
      </c>
      <c r="AX16" s="165"/>
      <c r="AY16" s="164">
        <v>907014</v>
      </c>
      <c r="AZ16" s="341">
        <v>0</v>
      </c>
      <c r="BA16" s="36">
        <v>710885</v>
      </c>
      <c r="BB16" s="173">
        <v>0</v>
      </c>
      <c r="BC16" s="165"/>
      <c r="BD16" s="164">
        <v>0</v>
      </c>
      <c r="BE16" s="36">
        <v>710885</v>
      </c>
      <c r="BF16" s="173">
        <v>0</v>
      </c>
      <c r="BG16" s="165"/>
      <c r="BH16" s="164">
        <v>0</v>
      </c>
      <c r="BI16" s="174">
        <v>0</v>
      </c>
      <c r="BJ16" s="171">
        <v>0</v>
      </c>
      <c r="BK16" s="36">
        <v>8514126</v>
      </c>
      <c r="BL16" s="36">
        <v>8514126</v>
      </c>
      <c r="BM16" s="35">
        <v>8514126</v>
      </c>
      <c r="BN16" s="156">
        <v>1421770</v>
      </c>
      <c r="BO16" s="138">
        <v>0.14309429164717505</v>
      </c>
    </row>
    <row r="17" spans="1:69" s="234" customFormat="1" ht="16.5" x14ac:dyDescent="0.2">
      <c r="A17" s="162" t="s">
        <v>141</v>
      </c>
      <c r="B17" s="572"/>
      <c r="C17" s="572"/>
      <c r="D17" s="572"/>
      <c r="E17" s="572"/>
      <c r="F17" s="572"/>
      <c r="G17" s="180">
        <f t="shared" si="2"/>
        <v>240883.96</v>
      </c>
      <c r="H17" s="572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20143.61</v>
      </c>
      <c r="AP17" s="165"/>
      <c r="AQ17" s="164">
        <v>20143.61</v>
      </c>
      <c r="AR17" s="36">
        <v>20143.61</v>
      </c>
      <c r="AS17" s="173">
        <v>20143.61</v>
      </c>
      <c r="AT17" s="165"/>
      <c r="AU17" s="164">
        <v>20143.61</v>
      </c>
      <c r="AV17" s="36">
        <v>20360.23</v>
      </c>
      <c r="AW17" s="173">
        <v>20143.61</v>
      </c>
      <c r="AX17" s="165"/>
      <c r="AY17" s="164">
        <v>20143.61</v>
      </c>
      <c r="AZ17" s="341">
        <v>-216.61999999999534</v>
      </c>
      <c r="BA17" s="36">
        <v>20360.23</v>
      </c>
      <c r="BB17" s="173">
        <v>0</v>
      </c>
      <c r="BC17" s="165"/>
      <c r="BD17" s="164">
        <v>0</v>
      </c>
      <c r="BE17" s="36">
        <v>20360.23</v>
      </c>
      <c r="BF17" s="173">
        <v>0</v>
      </c>
      <c r="BG17" s="165"/>
      <c r="BH17" s="164">
        <v>0</v>
      </c>
      <c r="BI17" s="174">
        <v>0</v>
      </c>
      <c r="BJ17" s="171">
        <v>0</v>
      </c>
      <c r="BK17" s="36">
        <v>200163.49999999997</v>
      </c>
      <c r="BL17" s="36">
        <v>200163.49999999994</v>
      </c>
      <c r="BM17" s="35">
        <v>200163.49999999994</v>
      </c>
      <c r="BN17" s="156">
        <v>40720.46000000005</v>
      </c>
      <c r="BO17" s="138">
        <v>0.16904595889240634</v>
      </c>
    </row>
    <row r="18" spans="1:69" s="234" customFormat="1" ht="16.5" x14ac:dyDescent="0.2">
      <c r="A18" s="162" t="s">
        <v>25</v>
      </c>
      <c r="B18" s="572"/>
      <c r="C18" s="572"/>
      <c r="D18" s="572"/>
      <c r="E18" s="572"/>
      <c r="F18" s="572"/>
      <c r="G18" s="180">
        <f t="shared" si="2"/>
        <v>771146.29</v>
      </c>
      <c r="H18" s="572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687597.25</v>
      </c>
      <c r="AP18" s="165"/>
      <c r="AQ18" s="164">
        <v>188.89</v>
      </c>
      <c r="AR18" s="36">
        <v>7971.7800000000007</v>
      </c>
      <c r="AS18" s="173">
        <v>3938.04</v>
      </c>
      <c r="AT18" s="165">
        <v>2</v>
      </c>
      <c r="AU18" s="164">
        <v>691346.4</v>
      </c>
      <c r="AV18" s="36">
        <v>7971.7800000000007</v>
      </c>
      <c r="AW18" s="173">
        <v>2971.76</v>
      </c>
      <c r="AX18" s="165">
        <v>2</v>
      </c>
      <c r="AY18" s="164">
        <v>2971.76</v>
      </c>
      <c r="AZ18" s="341">
        <v>-14433.389999999898</v>
      </c>
      <c r="BA18" s="36">
        <v>7971.7800000000007</v>
      </c>
      <c r="BB18" s="173">
        <v>0</v>
      </c>
      <c r="BC18" s="165"/>
      <c r="BD18" s="164">
        <v>0</v>
      </c>
      <c r="BE18" s="36">
        <v>7971.7800000000007</v>
      </c>
      <c r="BF18" s="173">
        <v>0</v>
      </c>
      <c r="BG18" s="165"/>
      <c r="BH18" s="164">
        <v>0</v>
      </c>
      <c r="BI18" s="174">
        <v>0</v>
      </c>
      <c r="BJ18" s="171">
        <v>0</v>
      </c>
      <c r="BK18" s="36">
        <v>755202.73</v>
      </c>
      <c r="BL18" s="36">
        <v>755202.7300000001</v>
      </c>
      <c r="BM18" s="35">
        <v>755202.73</v>
      </c>
      <c r="BN18" s="156">
        <v>15943.559999999939</v>
      </c>
      <c r="BO18" s="138">
        <v>2.0675143233847289E-2</v>
      </c>
    </row>
    <row r="19" spans="1:69" s="234" customFormat="1" ht="15" customHeight="1" x14ac:dyDescent="0.2">
      <c r="A19" s="162" t="s">
        <v>26</v>
      </c>
      <c r="B19" s="572"/>
      <c r="C19" s="572"/>
      <c r="D19" s="572"/>
      <c r="E19" s="572"/>
      <c r="F19" s="572"/>
      <c r="G19" s="180">
        <f t="shared" si="2"/>
        <v>2112207.6333333333</v>
      </c>
      <c r="H19" s="572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2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56705.270000000004</v>
      </c>
      <c r="AP19" s="165"/>
      <c r="AQ19" s="164">
        <v>369541.50999999995</v>
      </c>
      <c r="AR19" s="174">
        <v>27835.916666666668</v>
      </c>
      <c r="AS19" s="173">
        <v>39523.25</v>
      </c>
      <c r="AT19" s="165">
        <v>3</v>
      </c>
      <c r="AU19" s="164">
        <v>25450.83</v>
      </c>
      <c r="AV19" s="174">
        <v>380106.3843571067</v>
      </c>
      <c r="AW19" s="173">
        <v>360717.9</v>
      </c>
      <c r="AX19" s="165"/>
      <c r="AY19" s="164">
        <v>43353.8</v>
      </c>
      <c r="AZ19" s="341">
        <v>-20526.227690440021</v>
      </c>
      <c r="BA19" s="174">
        <v>464438.07666666666</v>
      </c>
      <c r="BB19" s="173">
        <v>0</v>
      </c>
      <c r="BC19" s="165"/>
      <c r="BD19" s="164">
        <v>0</v>
      </c>
      <c r="BE19" s="174">
        <v>27835.916666666668</v>
      </c>
      <c r="BF19" s="173">
        <v>0</v>
      </c>
      <c r="BG19" s="165"/>
      <c r="BH19" s="164">
        <v>0</v>
      </c>
      <c r="BI19" s="174">
        <v>0</v>
      </c>
      <c r="BJ19" s="171">
        <v>0</v>
      </c>
      <c r="BK19" s="36">
        <v>1619933.6400000001</v>
      </c>
      <c r="BL19" s="36">
        <v>1619933.6399999997</v>
      </c>
      <c r="BM19" s="35">
        <v>1288497.1199999999</v>
      </c>
      <c r="BN19" s="156">
        <v>492273.99333333364</v>
      </c>
      <c r="BO19" s="138">
        <v>0.23306136459532742</v>
      </c>
    </row>
    <row r="20" spans="1:69" s="234" customFormat="1" ht="15" customHeight="1" x14ac:dyDescent="0.2">
      <c r="A20" s="162" t="s">
        <v>1</v>
      </c>
      <c r="B20" s="572"/>
      <c r="C20" s="572"/>
      <c r="D20" s="572"/>
      <c r="E20" s="572"/>
      <c r="F20" s="572"/>
      <c r="G20" s="180">
        <f t="shared" si="2"/>
        <v>293888.04000000004</v>
      </c>
      <c r="H20" s="572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28239.533999999992</v>
      </c>
      <c r="AO20" s="173">
        <v>5399.13</v>
      </c>
      <c r="AP20" s="165">
        <v>2</v>
      </c>
      <c r="AQ20" s="173">
        <v>4776.47</v>
      </c>
      <c r="AR20" s="174">
        <v>26241.603999999992</v>
      </c>
      <c r="AS20" s="173">
        <v>1595.78</v>
      </c>
      <c r="AT20" s="165">
        <v>2</v>
      </c>
      <c r="AU20" s="173">
        <v>2218.44</v>
      </c>
      <c r="AV20" s="174">
        <v>25813.753999999994</v>
      </c>
      <c r="AW20" s="173">
        <v>5807.3099999999995</v>
      </c>
      <c r="AX20" s="165">
        <v>2</v>
      </c>
      <c r="AY20" s="173">
        <v>5807.3099999999995</v>
      </c>
      <c r="AZ20" s="341">
        <v>-67492.671999999977</v>
      </c>
      <c r="BA20" s="174">
        <v>55749.084999999977</v>
      </c>
      <c r="BB20" s="173">
        <v>0</v>
      </c>
      <c r="BC20" s="165"/>
      <c r="BD20" s="173">
        <v>0</v>
      </c>
      <c r="BE20" s="174">
        <v>53574.694999999985</v>
      </c>
      <c r="BF20" s="173">
        <v>0</v>
      </c>
      <c r="BG20" s="165"/>
      <c r="BH20" s="173">
        <v>0</v>
      </c>
      <c r="BI20" s="174">
        <v>0</v>
      </c>
      <c r="BJ20" s="171">
        <v>0</v>
      </c>
      <c r="BK20" s="36">
        <v>184564.26000000013</v>
      </c>
      <c r="BL20" s="36">
        <v>184564.26</v>
      </c>
      <c r="BM20" s="35">
        <v>184564.26</v>
      </c>
      <c r="BN20" s="156">
        <v>109323.78000000003</v>
      </c>
      <c r="BO20" s="138">
        <v>0.37199125217889101</v>
      </c>
    </row>
    <row r="21" spans="1:69" s="248" customFormat="1" ht="15.75" customHeight="1" x14ac:dyDescent="0.2">
      <c r="A21" s="162" t="s">
        <v>204</v>
      </c>
      <c r="B21" s="572"/>
      <c r="C21" s="572"/>
      <c r="D21" s="572"/>
      <c r="E21" s="572"/>
      <c r="F21" s="572"/>
      <c r="G21" s="180">
        <f t="shared" si="2"/>
        <v>2053839.8999999997</v>
      </c>
      <c r="H21" s="572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59520</v>
      </c>
      <c r="AR21" s="180">
        <v>506292</v>
      </c>
      <c r="AS21" s="164">
        <v>0</v>
      </c>
      <c r="AT21" s="165">
        <v>2</v>
      </c>
      <c r="AU21" s="166">
        <v>0</v>
      </c>
      <c r="AV21" s="180">
        <v>758173.2</v>
      </c>
      <c r="AW21" s="164">
        <v>506292</v>
      </c>
      <c r="AX21" s="165">
        <v>2</v>
      </c>
      <c r="AY21" s="166">
        <v>0</v>
      </c>
      <c r="AZ21" s="341">
        <v>-758173.2</v>
      </c>
      <c r="BA21" s="180">
        <v>1488027.9</v>
      </c>
      <c r="BB21" s="164">
        <v>0</v>
      </c>
      <c r="BC21" s="165"/>
      <c r="BD21" s="166">
        <v>0</v>
      </c>
      <c r="BE21" s="180">
        <v>0</v>
      </c>
      <c r="BF21" s="164">
        <v>0</v>
      </c>
      <c r="BG21" s="165"/>
      <c r="BH21" s="166">
        <v>0</v>
      </c>
      <c r="BI21" s="36" t="e">
        <v>#REF!</v>
      </c>
      <c r="BJ21" s="44" t="e">
        <v>#REF!</v>
      </c>
      <c r="BK21" s="36">
        <v>565812</v>
      </c>
      <c r="BL21" s="36">
        <v>565812</v>
      </c>
      <c r="BM21" s="35">
        <v>59520</v>
      </c>
      <c r="BN21" s="156">
        <v>1488027.8999999997</v>
      </c>
      <c r="BO21" s="138">
        <v>0.72451017238490689</v>
      </c>
      <c r="BP21" s="234"/>
      <c r="BQ21" s="234"/>
    </row>
    <row r="22" spans="1:69" s="248" customFormat="1" ht="15.75" customHeight="1" x14ac:dyDescent="0.2">
      <c r="A22" s="162" t="s">
        <v>128</v>
      </c>
      <c r="B22" s="572"/>
      <c r="C22" s="572"/>
      <c r="D22" s="572"/>
      <c r="E22" s="572"/>
      <c r="F22" s="572"/>
      <c r="G22" s="180">
        <f t="shared" si="2"/>
        <v>3617244.8450000002</v>
      </c>
      <c r="H22" s="572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345795.28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-120354.13999999998</v>
      </c>
      <c r="AE22" s="180">
        <v>306391.92000000004</v>
      </c>
      <c r="AF22" s="164">
        <v>266265.07</v>
      </c>
      <c r="AG22" s="165">
        <v>1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262605.59999999998</v>
      </c>
      <c r="AP22" s="165"/>
      <c r="AQ22" s="166">
        <v>252846.88999999998</v>
      </c>
      <c r="AR22" s="180">
        <v>303691.92000000004</v>
      </c>
      <c r="AS22" s="164">
        <v>293483.79000000004</v>
      </c>
      <c r="AT22" s="165"/>
      <c r="AU22" s="166">
        <v>264799.59000000003</v>
      </c>
      <c r="AV22" s="180">
        <v>319271.92000000004</v>
      </c>
      <c r="AW22" s="164">
        <v>308040.89</v>
      </c>
      <c r="AX22" s="165"/>
      <c r="AY22" s="166">
        <v>291289.80000000005</v>
      </c>
      <c r="AZ22" s="341">
        <v>-37195.399999999994</v>
      </c>
      <c r="BA22" s="180">
        <v>312628.56</v>
      </c>
      <c r="BB22" s="164">
        <v>0</v>
      </c>
      <c r="BC22" s="165"/>
      <c r="BD22" s="166">
        <v>0</v>
      </c>
      <c r="BE22" s="180">
        <v>326631.92000000004</v>
      </c>
      <c r="BF22" s="164">
        <v>0</v>
      </c>
      <c r="BG22" s="165"/>
      <c r="BH22" s="166">
        <v>0</v>
      </c>
      <c r="BI22" s="36">
        <v>0</v>
      </c>
      <c r="BJ22" s="44">
        <v>0</v>
      </c>
      <c r="BK22" s="36">
        <v>2977984.3650000002</v>
      </c>
      <c r="BL22" s="36">
        <v>2977984.3649999998</v>
      </c>
      <c r="BM22" s="35">
        <v>2669943.48</v>
      </c>
      <c r="BN22" s="156">
        <v>639260.48000000045</v>
      </c>
      <c r="BO22" s="138">
        <v>0.17672579750403941</v>
      </c>
      <c r="BP22" s="234"/>
      <c r="BQ22" s="234"/>
    </row>
    <row r="23" spans="1:69" s="248" customFormat="1" ht="15.75" customHeight="1" x14ac:dyDescent="0.2">
      <c r="A23" s="162" t="s">
        <v>27</v>
      </c>
      <c r="B23" s="572"/>
      <c r="C23" s="572"/>
      <c r="D23" s="572"/>
      <c r="E23" s="572"/>
      <c r="F23" s="572"/>
      <c r="G23" s="180">
        <f t="shared" si="2"/>
        <v>1627362</v>
      </c>
      <c r="H23" s="572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111502</v>
      </c>
      <c r="AP23" s="165"/>
      <c r="AQ23" s="166">
        <v>110296</v>
      </c>
      <c r="AR23" s="180">
        <v>129360</v>
      </c>
      <c r="AS23" s="164">
        <v>120288</v>
      </c>
      <c r="AT23" s="165"/>
      <c r="AU23" s="166">
        <v>97102</v>
      </c>
      <c r="AV23" s="180">
        <v>129360</v>
      </c>
      <c r="AW23" s="164">
        <v>129004</v>
      </c>
      <c r="AX23" s="165"/>
      <c r="AY23" s="166">
        <v>133968</v>
      </c>
      <c r="AZ23" s="341">
        <v>-16246</v>
      </c>
      <c r="BA23" s="180">
        <v>123480</v>
      </c>
      <c r="BB23" s="164">
        <v>0</v>
      </c>
      <c r="BC23" s="165"/>
      <c r="BD23" s="166">
        <v>0</v>
      </c>
      <c r="BE23" s="180">
        <v>129360</v>
      </c>
      <c r="BF23" s="164">
        <v>0</v>
      </c>
      <c r="BG23" s="165"/>
      <c r="BH23" s="166">
        <v>0</v>
      </c>
      <c r="BI23" s="36" t="e">
        <v>#REF!</v>
      </c>
      <c r="BJ23" s="44" t="e">
        <v>#REF!</v>
      </c>
      <c r="BK23" s="36">
        <v>1374522</v>
      </c>
      <c r="BL23" s="36">
        <v>1374522</v>
      </c>
      <c r="BM23" s="35">
        <v>1245518</v>
      </c>
      <c r="BN23" s="156">
        <v>252840</v>
      </c>
      <c r="BO23" s="138">
        <v>0.15536801277158985</v>
      </c>
      <c r="BP23" s="234"/>
      <c r="BQ23" s="234"/>
    </row>
    <row r="24" spans="1:69" s="248" customFormat="1" ht="15.75" customHeight="1" thickBot="1" x14ac:dyDescent="0.25">
      <c r="A24" s="162" t="s">
        <v>207</v>
      </c>
      <c r="B24" s="573"/>
      <c r="C24" s="573"/>
      <c r="D24" s="573"/>
      <c r="E24" s="573"/>
      <c r="F24" s="573"/>
      <c r="G24" s="180">
        <f t="shared" si="2"/>
        <v>0</v>
      </c>
      <c r="H24" s="573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3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64"/>
      <c r="BA24" s="180"/>
      <c r="BB24" s="164"/>
      <c r="BC24" s="165"/>
      <c r="BD24" s="166"/>
      <c r="BE24" s="180"/>
      <c r="BF24" s="164"/>
      <c r="BG24" s="165"/>
      <c r="BH24" s="166"/>
      <c r="BI24" s="180"/>
      <c r="BJ24" s="164"/>
      <c r="BK24" s="509"/>
      <c r="BL24" s="36"/>
      <c r="BM24" s="35"/>
      <c r="BN24" s="36"/>
      <c r="BO24" s="138"/>
      <c r="BP24" s="234"/>
      <c r="BQ24" s="234"/>
    </row>
    <row r="25" spans="1:69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2"/>
        <v>0</v>
      </c>
      <c r="H25" s="495">
        <f>E25-BM25</f>
        <v>0</v>
      </c>
      <c r="I25" s="177">
        <v>0</v>
      </c>
      <c r="J25" s="484">
        <v>0</v>
      </c>
      <c r="K25" s="490"/>
      <c r="L25" s="190">
        <v>0</v>
      </c>
      <c r="M25" s="191">
        <v>0</v>
      </c>
      <c r="N25" s="484">
        <v>0</v>
      </c>
      <c r="O25" s="490"/>
      <c r="P25" s="190">
        <v>0</v>
      </c>
      <c r="Q25" s="191">
        <v>0</v>
      </c>
      <c r="R25" s="484">
        <v>0</v>
      </c>
      <c r="S25" s="488"/>
      <c r="T25" s="190">
        <v>0</v>
      </c>
      <c r="U25" s="340">
        <v>0</v>
      </c>
      <c r="V25" s="191">
        <v>0</v>
      </c>
      <c r="W25" s="484">
        <v>0</v>
      </c>
      <c r="X25" s="490"/>
      <c r="Y25" s="190">
        <v>0</v>
      </c>
      <c r="Z25" s="191">
        <v>0</v>
      </c>
      <c r="AA25" s="484">
        <v>0</v>
      </c>
      <c r="AB25" s="490"/>
      <c r="AC25" s="190">
        <v>0</v>
      </c>
      <c r="AD25" s="340">
        <v>0</v>
      </c>
      <c r="AE25" s="191">
        <v>0</v>
      </c>
      <c r="AF25" s="484">
        <v>0</v>
      </c>
      <c r="AG25" s="490"/>
      <c r="AH25" s="190">
        <v>0</v>
      </c>
      <c r="AI25" s="191">
        <v>0</v>
      </c>
      <c r="AJ25" s="484">
        <v>0</v>
      </c>
      <c r="AK25" s="490"/>
      <c r="AL25" s="190">
        <v>0</v>
      </c>
      <c r="AM25" s="340">
        <v>0</v>
      </c>
      <c r="AN25" s="191">
        <v>0</v>
      </c>
      <c r="AO25" s="484">
        <v>0</v>
      </c>
      <c r="AP25" s="490"/>
      <c r="AQ25" s="190">
        <v>0</v>
      </c>
      <c r="AR25" s="191">
        <v>0</v>
      </c>
      <c r="AS25" s="484">
        <v>0</v>
      </c>
      <c r="AT25" s="490"/>
      <c r="AU25" s="190">
        <v>0</v>
      </c>
      <c r="AV25" s="191">
        <v>0</v>
      </c>
      <c r="AW25" s="484">
        <v>0</v>
      </c>
      <c r="AX25" s="490"/>
      <c r="AY25" s="190">
        <v>0</v>
      </c>
      <c r="AZ25" s="340">
        <v>0</v>
      </c>
      <c r="BA25" s="191">
        <v>0</v>
      </c>
      <c r="BB25" s="484">
        <v>0</v>
      </c>
      <c r="BC25" s="490"/>
      <c r="BD25" s="190">
        <v>0</v>
      </c>
      <c r="BE25" s="191">
        <v>0</v>
      </c>
      <c r="BF25" s="484">
        <v>0</v>
      </c>
      <c r="BG25" s="490"/>
      <c r="BH25" s="192">
        <v>0</v>
      </c>
      <c r="BI25" s="187">
        <v>0</v>
      </c>
      <c r="BJ25" s="182">
        <v>0</v>
      </c>
      <c r="BK25" s="177">
        <v>0</v>
      </c>
      <c r="BL25" s="473">
        <v>0</v>
      </c>
      <c r="BM25" s="474">
        <v>0</v>
      </c>
      <c r="BN25" s="475">
        <v>0</v>
      </c>
      <c r="BO25" s="139">
        <v>0</v>
      </c>
    </row>
    <row r="26" spans="1:69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57">
        <f t="shared" si="2"/>
        <v>10127271.333333334</v>
      </c>
      <c r="H26" s="496">
        <f t="shared" ref="H26:H31" si="3">E26-BM26</f>
        <v>2987009.5</v>
      </c>
      <c r="I26" s="176">
        <v>916309.91666666663</v>
      </c>
      <c r="J26" s="485">
        <v>849765.7699999999</v>
      </c>
      <c r="K26" s="491"/>
      <c r="L26" s="186">
        <v>849765.7699999999</v>
      </c>
      <c r="M26" s="178">
        <v>916309.91666666663</v>
      </c>
      <c r="N26" s="485">
        <v>810184.43999999959</v>
      </c>
      <c r="O26" s="491"/>
      <c r="P26" s="186">
        <v>810184.43999999959</v>
      </c>
      <c r="Q26" s="178">
        <v>916309.91666666663</v>
      </c>
      <c r="R26" s="485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5">
        <v>784148.4</v>
      </c>
      <c r="X26" s="491"/>
      <c r="Y26" s="186">
        <v>784148.4</v>
      </c>
      <c r="Z26" s="178">
        <v>916309.91666666663</v>
      </c>
      <c r="AA26" s="485">
        <v>793281.18</v>
      </c>
      <c r="AB26" s="491"/>
      <c r="AC26" s="186">
        <v>793281.18</v>
      </c>
      <c r="AD26" s="340">
        <v>-255190.25333333318</v>
      </c>
      <c r="AE26" s="178">
        <v>916309.91666666663</v>
      </c>
      <c r="AF26" s="485">
        <v>810094.26000000013</v>
      </c>
      <c r="AG26" s="491"/>
      <c r="AH26" s="186">
        <v>810094.26000000013</v>
      </c>
      <c r="AI26" s="178">
        <v>916309.91666666663</v>
      </c>
      <c r="AJ26" s="485">
        <v>860073.44000000006</v>
      </c>
      <c r="AK26" s="491"/>
      <c r="AL26" s="186">
        <v>860073.44000000006</v>
      </c>
      <c r="AM26" s="340">
        <v>-162452.13333333307</v>
      </c>
      <c r="AN26" s="178">
        <v>916309.91666666663</v>
      </c>
      <c r="AO26" s="485">
        <v>857064.7899999998</v>
      </c>
      <c r="AP26" s="491"/>
      <c r="AQ26" s="186">
        <v>857064.7899999998</v>
      </c>
      <c r="AR26" s="178">
        <v>916309.91666666663</v>
      </c>
      <c r="AS26" s="485">
        <v>854848.25000000023</v>
      </c>
      <c r="AT26" s="491"/>
      <c r="AU26" s="186">
        <v>854848.25000000023</v>
      </c>
      <c r="AV26" s="178">
        <v>916309.91666666663</v>
      </c>
      <c r="AW26" s="485">
        <v>848244.94999999984</v>
      </c>
      <c r="AX26" s="491"/>
      <c r="AY26" s="186">
        <v>848244.94999999984</v>
      </c>
      <c r="AZ26" s="340">
        <v>-188771.76000000024</v>
      </c>
      <c r="BA26" s="178">
        <v>916309.91666666663</v>
      </c>
      <c r="BB26" s="485">
        <v>0</v>
      </c>
      <c r="BC26" s="491"/>
      <c r="BD26" s="186">
        <v>0</v>
      </c>
      <c r="BE26" s="178">
        <v>916309.91666666663</v>
      </c>
      <c r="BF26" s="485">
        <v>0</v>
      </c>
      <c r="BG26" s="491"/>
      <c r="BH26" s="185">
        <v>0</v>
      </c>
      <c r="BI26" s="188">
        <v>0</v>
      </c>
      <c r="BJ26" s="179">
        <v>0</v>
      </c>
      <c r="BK26" s="176">
        <v>8294651.5000000019</v>
      </c>
      <c r="BL26" s="479">
        <v>8294651.5</v>
      </c>
      <c r="BM26" s="480">
        <v>8294651.5</v>
      </c>
      <c r="BN26" s="481">
        <v>1832619.833333334</v>
      </c>
      <c r="BO26" s="140">
        <v>0.18095889534443207</v>
      </c>
    </row>
    <row r="27" spans="1:69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1938303</v>
      </c>
      <c r="F27" s="160">
        <v>0</v>
      </c>
      <c r="G27" s="157">
        <f t="shared" si="2"/>
        <v>716433.80999999994</v>
      </c>
      <c r="H27" s="496">
        <f t="shared" si="3"/>
        <v>1536833.19</v>
      </c>
      <c r="I27" s="176">
        <v>157482</v>
      </c>
      <c r="J27" s="485">
        <v>33013</v>
      </c>
      <c r="K27" s="491"/>
      <c r="L27" s="186">
        <v>33013</v>
      </c>
      <c r="M27" s="178">
        <v>157482</v>
      </c>
      <c r="N27" s="485">
        <v>33013.01</v>
      </c>
      <c r="O27" s="491"/>
      <c r="P27" s="186">
        <v>33013.01</v>
      </c>
      <c r="Q27" s="178">
        <v>157482</v>
      </c>
      <c r="R27" s="485">
        <v>33013.01</v>
      </c>
      <c r="S27" s="351"/>
      <c r="T27" s="186">
        <v>33013.01</v>
      </c>
      <c r="U27" s="340">
        <v>-373406.98</v>
      </c>
      <c r="V27" s="178">
        <v>157482</v>
      </c>
      <c r="W27" s="485">
        <v>68345.149999999994</v>
      </c>
      <c r="X27" s="491"/>
      <c r="Y27" s="186">
        <v>68345.149999999994</v>
      </c>
      <c r="Z27" s="178">
        <v>157482</v>
      </c>
      <c r="AA27" s="485">
        <v>33013.01</v>
      </c>
      <c r="AB27" s="491"/>
      <c r="AC27" s="186">
        <v>33013.01</v>
      </c>
      <c r="AD27" s="340">
        <v>-213605.84</v>
      </c>
      <c r="AE27" s="178">
        <v>157482</v>
      </c>
      <c r="AF27" s="485">
        <v>34284.01</v>
      </c>
      <c r="AG27" s="491"/>
      <c r="AH27" s="186">
        <v>34284.01</v>
      </c>
      <c r="AI27" s="178">
        <v>157482</v>
      </c>
      <c r="AJ27" s="485">
        <v>30142.990000000005</v>
      </c>
      <c r="AK27" s="491"/>
      <c r="AL27" s="186">
        <v>30142.990000000005</v>
      </c>
      <c r="AM27" s="340">
        <v>-250537</v>
      </c>
      <c r="AN27" s="178">
        <v>157482</v>
      </c>
      <c r="AO27" s="485">
        <v>27384.510000000002</v>
      </c>
      <c r="AP27" s="491"/>
      <c r="AQ27" s="186">
        <v>27384.510000000002</v>
      </c>
      <c r="AR27" s="178">
        <v>157482</v>
      </c>
      <c r="AS27" s="485">
        <v>51512.530000000006</v>
      </c>
      <c r="AT27" s="491"/>
      <c r="AU27" s="186">
        <v>51512.530000000006</v>
      </c>
      <c r="AV27" s="178">
        <v>157482</v>
      </c>
      <c r="AW27" s="485">
        <v>57748.590000000011</v>
      </c>
      <c r="AX27" s="491"/>
      <c r="AY27" s="186">
        <v>57748.590000000011</v>
      </c>
      <c r="AZ27" s="340">
        <v>-335800.37</v>
      </c>
      <c r="BA27" s="178">
        <v>157482</v>
      </c>
      <c r="BB27" s="485">
        <v>0</v>
      </c>
      <c r="BC27" s="491"/>
      <c r="BD27" s="186">
        <v>0</v>
      </c>
      <c r="BE27" s="178">
        <v>157482</v>
      </c>
      <c r="BF27" s="485">
        <v>0</v>
      </c>
      <c r="BG27" s="491"/>
      <c r="BH27" s="185">
        <v>0</v>
      </c>
      <c r="BI27" s="188"/>
      <c r="BJ27" s="179"/>
      <c r="BK27" s="176">
        <v>401469.81000000006</v>
      </c>
      <c r="BL27" s="479">
        <v>401469.81000000011</v>
      </c>
      <c r="BM27" s="480">
        <v>401469.81000000011</v>
      </c>
      <c r="BN27" s="481">
        <v>314963.99999999983</v>
      </c>
      <c r="BO27" s="140">
        <v>0.43962749329208772</v>
      </c>
    </row>
    <row r="28" spans="1:69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57">
        <f t="shared" si="2"/>
        <v>0</v>
      </c>
      <c r="H28" s="496">
        <f t="shared" si="3"/>
        <v>0</v>
      </c>
      <c r="I28" s="176">
        <v>112138</v>
      </c>
      <c r="J28" s="485">
        <v>0</v>
      </c>
      <c r="K28" s="491"/>
      <c r="L28" s="186">
        <v>0</v>
      </c>
      <c r="M28" s="178">
        <v>0</v>
      </c>
      <c r="N28" s="485">
        <v>0</v>
      </c>
      <c r="O28" s="491"/>
      <c r="P28" s="186">
        <v>0</v>
      </c>
      <c r="Q28" s="178">
        <v>0</v>
      </c>
      <c r="R28" s="485">
        <v>0</v>
      </c>
      <c r="S28" s="351"/>
      <c r="T28" s="186">
        <v>0</v>
      </c>
      <c r="U28" s="340">
        <v>-112138</v>
      </c>
      <c r="V28" s="178">
        <v>0</v>
      </c>
      <c r="W28" s="485">
        <v>0</v>
      </c>
      <c r="X28" s="491"/>
      <c r="Y28" s="186">
        <v>0</v>
      </c>
      <c r="Z28" s="178">
        <v>0</v>
      </c>
      <c r="AA28" s="485">
        <v>0</v>
      </c>
      <c r="AB28" s="491"/>
      <c r="AC28" s="186">
        <v>0</v>
      </c>
      <c r="AD28" s="340">
        <v>0</v>
      </c>
      <c r="AE28" s="178">
        <v>0</v>
      </c>
      <c r="AF28" s="485">
        <v>0</v>
      </c>
      <c r="AG28" s="491"/>
      <c r="AH28" s="186">
        <v>0</v>
      </c>
      <c r="AI28" s="178">
        <v>0</v>
      </c>
      <c r="AJ28" s="485">
        <v>0</v>
      </c>
      <c r="AK28" s="491"/>
      <c r="AL28" s="186">
        <v>0</v>
      </c>
      <c r="AM28" s="340">
        <v>0</v>
      </c>
      <c r="AN28" s="178">
        <v>0</v>
      </c>
      <c r="AO28" s="485">
        <v>0</v>
      </c>
      <c r="AP28" s="491"/>
      <c r="AQ28" s="186">
        <v>0</v>
      </c>
      <c r="AR28" s="178">
        <v>0</v>
      </c>
      <c r="AS28" s="485">
        <v>0</v>
      </c>
      <c r="AT28" s="491"/>
      <c r="AU28" s="186">
        <v>0</v>
      </c>
      <c r="AV28" s="178">
        <v>0</v>
      </c>
      <c r="AW28" s="485">
        <v>0</v>
      </c>
      <c r="AX28" s="491"/>
      <c r="AY28" s="186">
        <v>0</v>
      </c>
      <c r="AZ28" s="340">
        <v>0</v>
      </c>
      <c r="BA28" s="178">
        <v>0</v>
      </c>
      <c r="BB28" s="485">
        <v>0</v>
      </c>
      <c r="BC28" s="491"/>
      <c r="BD28" s="186">
        <v>0</v>
      </c>
      <c r="BE28" s="178">
        <v>0</v>
      </c>
      <c r="BF28" s="485">
        <v>0</v>
      </c>
      <c r="BG28" s="491"/>
      <c r="BH28" s="185">
        <v>0</v>
      </c>
      <c r="BI28" s="189">
        <v>0</v>
      </c>
      <c r="BJ28" s="167">
        <v>0</v>
      </c>
      <c r="BK28" s="176">
        <v>0</v>
      </c>
      <c r="BL28" s="479">
        <v>0</v>
      </c>
      <c r="BM28" s="480">
        <v>0</v>
      </c>
      <c r="BN28" s="481">
        <v>0</v>
      </c>
      <c r="BO28" s="140">
        <v>0</v>
      </c>
    </row>
    <row r="29" spans="1:69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57">
        <f t="shared" si="2"/>
        <v>14572</v>
      </c>
      <c r="H29" s="496">
        <f t="shared" si="3"/>
        <v>0</v>
      </c>
      <c r="I29" s="176">
        <v>13957</v>
      </c>
      <c r="J29" s="485">
        <v>0</v>
      </c>
      <c r="K29" s="491"/>
      <c r="L29" s="186">
        <v>0</v>
      </c>
      <c r="M29" s="178">
        <v>0</v>
      </c>
      <c r="N29" s="485">
        <v>0</v>
      </c>
      <c r="O29" s="491"/>
      <c r="P29" s="186">
        <v>0</v>
      </c>
      <c r="Q29" s="178">
        <v>615</v>
      </c>
      <c r="R29" s="485">
        <v>14572</v>
      </c>
      <c r="S29" s="351">
        <v>3</v>
      </c>
      <c r="T29" s="186">
        <v>14572</v>
      </c>
      <c r="U29" s="340">
        <v>0</v>
      </c>
      <c r="V29" s="178">
        <v>0</v>
      </c>
      <c r="W29" s="485">
        <v>0</v>
      </c>
      <c r="X29" s="491"/>
      <c r="Y29" s="186">
        <v>0</v>
      </c>
      <c r="Z29" s="178">
        <v>0</v>
      </c>
      <c r="AA29" s="485">
        <v>0</v>
      </c>
      <c r="AB29" s="491"/>
      <c r="AC29" s="186">
        <v>0</v>
      </c>
      <c r="AD29" s="340">
        <v>0</v>
      </c>
      <c r="AE29" s="178">
        <v>0</v>
      </c>
      <c r="AF29" s="485">
        <v>0</v>
      </c>
      <c r="AG29" s="491"/>
      <c r="AH29" s="186">
        <v>0</v>
      </c>
      <c r="AI29" s="178">
        <v>0</v>
      </c>
      <c r="AJ29" s="485">
        <v>0</v>
      </c>
      <c r="AK29" s="491"/>
      <c r="AL29" s="186">
        <v>0</v>
      </c>
      <c r="AM29" s="340">
        <v>0</v>
      </c>
      <c r="AN29" s="178">
        <v>0</v>
      </c>
      <c r="AO29" s="485">
        <v>0</v>
      </c>
      <c r="AP29" s="491"/>
      <c r="AQ29" s="186">
        <v>0</v>
      </c>
      <c r="AR29" s="178">
        <v>0</v>
      </c>
      <c r="AS29" s="485">
        <v>0</v>
      </c>
      <c r="AT29" s="491"/>
      <c r="AU29" s="186">
        <v>0</v>
      </c>
      <c r="AV29" s="178">
        <v>0</v>
      </c>
      <c r="AW29" s="485">
        <v>0</v>
      </c>
      <c r="AX29" s="491"/>
      <c r="AY29" s="186">
        <v>0</v>
      </c>
      <c r="AZ29" s="340">
        <v>0</v>
      </c>
      <c r="BA29" s="178">
        <v>0</v>
      </c>
      <c r="BB29" s="485">
        <v>0</v>
      </c>
      <c r="BC29" s="491"/>
      <c r="BD29" s="186">
        <v>0</v>
      </c>
      <c r="BE29" s="178">
        <v>0</v>
      </c>
      <c r="BF29" s="485">
        <v>0</v>
      </c>
      <c r="BG29" s="491"/>
      <c r="BH29" s="185">
        <v>0</v>
      </c>
      <c r="BI29" s="189">
        <v>0</v>
      </c>
      <c r="BJ29" s="167">
        <v>0</v>
      </c>
      <c r="BK29" s="176">
        <v>14572</v>
      </c>
      <c r="BL29" s="479">
        <v>14572</v>
      </c>
      <c r="BM29" s="480">
        <v>14572</v>
      </c>
      <c r="BN29" s="481">
        <v>0</v>
      </c>
      <c r="BO29" s="140">
        <v>0</v>
      </c>
    </row>
    <row r="30" spans="1:69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57">
        <f t="shared" si="2"/>
        <v>24081</v>
      </c>
      <c r="H30" s="496">
        <f t="shared" si="3"/>
        <v>0</v>
      </c>
      <c r="I30" s="325">
        <v>6000</v>
      </c>
      <c r="J30" s="486">
        <v>0</v>
      </c>
      <c r="K30" s="492"/>
      <c r="L30" s="326">
        <v>0</v>
      </c>
      <c r="M30" s="327">
        <v>0</v>
      </c>
      <c r="N30" s="486">
        <v>0</v>
      </c>
      <c r="O30" s="492"/>
      <c r="P30" s="326">
        <v>0</v>
      </c>
      <c r="Q30" s="327">
        <v>0</v>
      </c>
      <c r="R30" s="486">
        <v>0</v>
      </c>
      <c r="S30" s="351"/>
      <c r="T30" s="326">
        <v>0</v>
      </c>
      <c r="U30" s="340">
        <v>-6000</v>
      </c>
      <c r="V30" s="327">
        <v>12040.5</v>
      </c>
      <c r="W30" s="486">
        <v>12040.5</v>
      </c>
      <c r="X30" s="492"/>
      <c r="Y30" s="326">
        <v>12040.5</v>
      </c>
      <c r="Z30" s="327">
        <v>0</v>
      </c>
      <c r="AA30" s="486">
        <v>0</v>
      </c>
      <c r="AB30" s="492"/>
      <c r="AC30" s="326">
        <v>0</v>
      </c>
      <c r="AD30" s="340">
        <v>0</v>
      </c>
      <c r="AE30" s="327">
        <v>0</v>
      </c>
      <c r="AF30" s="486">
        <v>0</v>
      </c>
      <c r="AG30" s="492"/>
      <c r="AH30" s="326">
        <v>0</v>
      </c>
      <c r="AI30" s="327">
        <v>6020.25</v>
      </c>
      <c r="AJ30" s="486">
        <v>6020.25</v>
      </c>
      <c r="AK30" s="492"/>
      <c r="AL30" s="326">
        <v>6020.25</v>
      </c>
      <c r="AM30" s="340">
        <v>0</v>
      </c>
      <c r="AN30" s="327">
        <v>0</v>
      </c>
      <c r="AO30" s="486">
        <v>0</v>
      </c>
      <c r="AP30" s="492"/>
      <c r="AQ30" s="326">
        <v>0</v>
      </c>
      <c r="AR30" s="327">
        <v>0</v>
      </c>
      <c r="AS30" s="486">
        <v>0</v>
      </c>
      <c r="AT30" s="492"/>
      <c r="AU30" s="326">
        <v>0</v>
      </c>
      <c r="AV30" s="327">
        <v>6020.25</v>
      </c>
      <c r="AW30" s="486">
        <v>6020.25</v>
      </c>
      <c r="AX30" s="492"/>
      <c r="AY30" s="326">
        <v>6020.25</v>
      </c>
      <c r="AZ30" s="340">
        <v>0</v>
      </c>
      <c r="BA30" s="327">
        <v>0</v>
      </c>
      <c r="BB30" s="486">
        <v>0</v>
      </c>
      <c r="BC30" s="492"/>
      <c r="BD30" s="326">
        <v>0</v>
      </c>
      <c r="BE30" s="327">
        <v>0</v>
      </c>
      <c r="BF30" s="486">
        <v>0</v>
      </c>
      <c r="BG30" s="492"/>
      <c r="BH30" s="328">
        <v>0</v>
      </c>
      <c r="BI30" s="188">
        <v>0</v>
      </c>
      <c r="BJ30" s="179">
        <v>0</v>
      </c>
      <c r="BK30" s="176">
        <v>24081</v>
      </c>
      <c r="BL30" s="479">
        <v>24081</v>
      </c>
      <c r="BM30" s="480">
        <v>24081</v>
      </c>
      <c r="BN30" s="481">
        <v>0</v>
      </c>
      <c r="BO30" s="140">
        <v>0</v>
      </c>
    </row>
    <row r="31" spans="1:69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7">
        <f t="shared" si="2"/>
        <v>3528</v>
      </c>
      <c r="H31" s="494">
        <f t="shared" si="3"/>
        <v>0</v>
      </c>
      <c r="I31" s="193">
        <v>880</v>
      </c>
      <c r="J31" s="487">
        <v>0</v>
      </c>
      <c r="K31" s="493"/>
      <c r="L31" s="194">
        <v>0</v>
      </c>
      <c r="M31" s="195">
        <v>0</v>
      </c>
      <c r="N31" s="487">
        <v>0</v>
      </c>
      <c r="O31" s="493"/>
      <c r="P31" s="194">
        <v>0</v>
      </c>
      <c r="Q31" s="195">
        <v>0</v>
      </c>
      <c r="R31" s="487">
        <v>0</v>
      </c>
      <c r="S31" s="489"/>
      <c r="T31" s="194">
        <v>0</v>
      </c>
      <c r="U31" s="340">
        <v>-880</v>
      </c>
      <c r="V31" s="195">
        <v>1764</v>
      </c>
      <c r="W31" s="487">
        <v>1764</v>
      </c>
      <c r="X31" s="493"/>
      <c r="Y31" s="194">
        <v>1764</v>
      </c>
      <c r="Z31" s="195">
        <v>0</v>
      </c>
      <c r="AA31" s="487">
        <v>0</v>
      </c>
      <c r="AB31" s="493"/>
      <c r="AC31" s="194">
        <v>0</v>
      </c>
      <c r="AD31" s="340">
        <v>0</v>
      </c>
      <c r="AE31" s="195">
        <v>0</v>
      </c>
      <c r="AF31" s="487">
        <v>0</v>
      </c>
      <c r="AG31" s="493"/>
      <c r="AH31" s="194">
        <v>0</v>
      </c>
      <c r="AI31" s="195">
        <v>882</v>
      </c>
      <c r="AJ31" s="487">
        <v>882</v>
      </c>
      <c r="AK31" s="493"/>
      <c r="AL31" s="194">
        <v>882</v>
      </c>
      <c r="AM31" s="340">
        <v>0</v>
      </c>
      <c r="AN31" s="195">
        <v>0</v>
      </c>
      <c r="AO31" s="487">
        <v>0</v>
      </c>
      <c r="AP31" s="493"/>
      <c r="AQ31" s="194">
        <v>0</v>
      </c>
      <c r="AR31" s="195">
        <v>0</v>
      </c>
      <c r="AS31" s="487">
        <v>0</v>
      </c>
      <c r="AT31" s="493"/>
      <c r="AU31" s="194">
        <v>0</v>
      </c>
      <c r="AV31" s="195">
        <v>882</v>
      </c>
      <c r="AW31" s="487">
        <v>882</v>
      </c>
      <c r="AX31" s="493"/>
      <c r="AY31" s="194">
        <v>882</v>
      </c>
      <c r="AZ31" s="340">
        <v>0</v>
      </c>
      <c r="BA31" s="195">
        <v>0</v>
      </c>
      <c r="BB31" s="487">
        <v>0</v>
      </c>
      <c r="BC31" s="493"/>
      <c r="BD31" s="194">
        <v>0</v>
      </c>
      <c r="BE31" s="195">
        <v>0</v>
      </c>
      <c r="BF31" s="487">
        <v>0</v>
      </c>
      <c r="BG31" s="493"/>
      <c r="BH31" s="196">
        <v>0</v>
      </c>
      <c r="BI31" s="188"/>
      <c r="BJ31" s="179"/>
      <c r="BK31" s="510">
        <v>3528</v>
      </c>
      <c r="BL31" s="476">
        <v>3528</v>
      </c>
      <c r="BM31" s="477">
        <v>3528</v>
      </c>
      <c r="BN31" s="478">
        <v>0</v>
      </c>
      <c r="BO31" s="140">
        <v>0</v>
      </c>
    </row>
    <row r="32" spans="1:69" s="234" customFormat="1" ht="15.75" thickBot="1" x14ac:dyDescent="0.25">
      <c r="A32" s="30" t="s">
        <v>2</v>
      </c>
      <c r="B32" s="13">
        <f t="shared" ref="B32:J32" si="4">SUM(B13,B25:B31)</f>
        <v>13130387</v>
      </c>
      <c r="C32" s="13">
        <f t="shared" si="4"/>
        <v>59192807.000000007</v>
      </c>
      <c r="D32" s="13">
        <f t="shared" si="4"/>
        <v>72323194</v>
      </c>
      <c r="E32" s="14">
        <f t="shared" si="4"/>
        <v>55641378</v>
      </c>
      <c r="F32" s="14">
        <f t="shared" si="4"/>
        <v>16681816</v>
      </c>
      <c r="G32" s="14">
        <f t="shared" si="4"/>
        <v>49152929.811666667</v>
      </c>
      <c r="H32" s="14">
        <f t="shared" si="4"/>
        <v>17028641.195</v>
      </c>
      <c r="I32" s="143">
        <f t="shared" si="4"/>
        <v>5838617.9800000004</v>
      </c>
      <c r="J32" s="144">
        <f t="shared" si="4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7383755.9619959956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-4304188.3425515508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5107053.4873333331</v>
      </c>
      <c r="AO32" s="144">
        <f>SUM(AO13,AO25:AO31)</f>
        <v>4855628.1599999992</v>
      </c>
      <c r="AP32" s="145"/>
      <c r="AQ32" s="146">
        <f>SUM(AQ13,AQ25:AQ31)</f>
        <v>1736403.6699999997</v>
      </c>
      <c r="AR32" s="143">
        <f>SUM(AR13,AR25:AR31)</f>
        <v>2840854.7473333334</v>
      </c>
      <c r="AS32" s="144">
        <f>SUM(AS13,AS25:AS31)</f>
        <v>2130859.2500000005</v>
      </c>
      <c r="AT32" s="145"/>
      <c r="AU32" s="146">
        <f>SUM(AU13,AU25:AU31)</f>
        <v>5545532.6500000004</v>
      </c>
      <c r="AV32" s="143">
        <f>SUM(AV13,AV25:AV31)</f>
        <v>3663406.435023773</v>
      </c>
      <c r="AW32" s="144">
        <f>SUM(AW13,AW25:AW31)</f>
        <v>3187528.26</v>
      </c>
      <c r="AX32" s="145"/>
      <c r="AY32" s="146">
        <f>SUM(AY13,AY25:AY31)</f>
        <v>2352085.0699999998</v>
      </c>
      <c r="AZ32" s="340">
        <f>SUM(AZ13,AZ25:AZ31)</f>
        <v>-1438855.6396904401</v>
      </c>
      <c r="BA32" s="143">
        <f>SUM(BA13,BA25:BA31)</f>
        <v>8155140.5483333338</v>
      </c>
      <c r="BB32" s="144">
        <f>SUM(BB13,BB25:BB31)</f>
        <v>0</v>
      </c>
      <c r="BC32" s="145"/>
      <c r="BD32" s="146">
        <f>SUM(BD13,BD25:BD31)</f>
        <v>0</v>
      </c>
      <c r="BE32" s="143">
        <f>SUM(BE13,BE25:BE31)</f>
        <v>2385052.458333333</v>
      </c>
      <c r="BF32" s="144">
        <f>SUM(BF13,BF25:BF31)</f>
        <v>0</v>
      </c>
      <c r="BG32" s="145"/>
      <c r="BH32" s="146">
        <f t="shared" ref="BH32:BN32" si="5">SUM(BH13,BH25:BH31)</f>
        <v>0</v>
      </c>
      <c r="BI32" s="59" t="e">
        <f t="shared" si="5"/>
        <v>#REF!</v>
      </c>
      <c r="BJ32" s="33" t="e">
        <f t="shared" si="5"/>
        <v>#REF!</v>
      </c>
      <c r="BK32" s="39">
        <f t="shared" si="5"/>
        <v>38612736.805000007</v>
      </c>
      <c r="BL32" s="42">
        <f t="shared" si="5"/>
        <v>38612736.805000007</v>
      </c>
      <c r="BM32" s="38">
        <f t="shared" si="5"/>
        <v>37337963.400000006</v>
      </c>
      <c r="BN32" s="40">
        <f t="shared" si="5"/>
        <v>10540193.006666668</v>
      </c>
      <c r="BO32" s="141">
        <v>1</v>
      </c>
    </row>
    <row r="33" spans="1:75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363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215"/>
      <c r="BL33" s="215"/>
      <c r="BM33" s="215"/>
      <c r="BQ33" s="234"/>
      <c r="BR33" s="234"/>
      <c r="BS33" s="234"/>
      <c r="BT33" s="234"/>
      <c r="BU33" s="234"/>
      <c r="BV33" s="234"/>
      <c r="BW33" s="234"/>
    </row>
    <row r="34" spans="1:75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363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215"/>
      <c r="BL34" s="215"/>
      <c r="BM34" s="215"/>
    </row>
    <row r="35" spans="1:75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17882210.911995996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23648755.192551553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2">
        <f>AI35+AM32</f>
        <v>28440277.774999999</v>
      </c>
      <c r="AN35" s="243">
        <f>AM35+AN32</f>
        <v>33547331.262333333</v>
      </c>
      <c r="AO35" s="243">
        <f>AJ35+AO32</f>
        <v>33297697.600000005</v>
      </c>
      <c r="AP35" s="244"/>
      <c r="AQ35" s="243">
        <f>AL35+AQ32</f>
        <v>29440345.679999996</v>
      </c>
      <c r="AR35" s="243">
        <f>AN35+AR32</f>
        <v>36388186.009666666</v>
      </c>
      <c r="AS35" s="243">
        <f>AO35+AS32</f>
        <v>35428556.850000009</v>
      </c>
      <c r="AT35" s="244"/>
      <c r="AU35" s="243">
        <f>AQ35+AU32</f>
        <v>34985878.329999998</v>
      </c>
      <c r="AV35" s="243">
        <f>AR35+AV32</f>
        <v>40051592.444690436</v>
      </c>
      <c r="AW35" s="243">
        <f>AS35+AW32</f>
        <v>38616085.110000007</v>
      </c>
      <c r="AX35" s="243"/>
      <c r="AY35" s="243">
        <f>AU35+AY32</f>
        <v>37337963.399999999</v>
      </c>
      <c r="AZ35" s="502">
        <f>AV35+AZ32</f>
        <v>38612736.804999992</v>
      </c>
      <c r="BA35" s="243">
        <f>AV35+BA32</f>
        <v>48206732.993023768</v>
      </c>
      <c r="BB35" s="243">
        <f>AW35+BB32</f>
        <v>38616085.110000007</v>
      </c>
      <c r="BC35" s="243"/>
      <c r="BD35" s="243">
        <f>AY35+BD32</f>
        <v>37337963.399999999</v>
      </c>
      <c r="BE35" s="243">
        <f>BA35+BE32</f>
        <v>50591785.451357104</v>
      </c>
      <c r="BF35" s="243">
        <f>BB35+BF32</f>
        <v>38616085.110000007</v>
      </c>
      <c r="BG35" s="243"/>
      <c r="BH35" s="243">
        <f>BD35+BH32</f>
        <v>37337963.399999999</v>
      </c>
      <c r="BI35" s="243"/>
      <c r="BJ35" s="243" t="e">
        <f>BH35+BJ32</f>
        <v>#REF!</v>
      </c>
      <c r="BL35" s="215"/>
      <c r="BM35" s="236" t="s">
        <v>185</v>
      </c>
      <c r="BO35" s="235">
        <f>BL32/BK32</f>
        <v>1</v>
      </c>
    </row>
    <row r="36" spans="1:75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57">
        <f>J32/I32</f>
        <v>0.57006128357793329</v>
      </c>
      <c r="J36" s="558"/>
      <c r="K36" s="558"/>
      <c r="L36" s="559"/>
      <c r="M36" s="557">
        <f>N32/M32</f>
        <v>0.50585816156498742</v>
      </c>
      <c r="N36" s="558"/>
      <c r="O36" s="558"/>
      <c r="P36" s="559"/>
      <c r="Q36" s="557">
        <f>R32/Q32</f>
        <v>0.83518568106431812</v>
      </c>
      <c r="R36" s="558"/>
      <c r="S36" s="558"/>
      <c r="T36" s="559"/>
      <c r="U36" s="336"/>
      <c r="V36" s="557">
        <f>W32/V32</f>
        <v>0.93801498595678479</v>
      </c>
      <c r="W36" s="558"/>
      <c r="X36" s="558"/>
      <c r="Y36" s="559"/>
      <c r="Z36" s="557">
        <f>AA32/Z32</f>
        <v>0.33296165980624726</v>
      </c>
      <c r="AA36" s="558"/>
      <c r="AB36" s="558"/>
      <c r="AC36" s="559"/>
      <c r="AD36" s="352"/>
      <c r="AE36" s="557">
        <f>AF32/AE32</f>
        <v>0.87584685098890036</v>
      </c>
      <c r="AF36" s="558"/>
      <c r="AG36" s="558"/>
      <c r="AH36" s="559"/>
      <c r="AI36" s="560">
        <f>AJ32/AI32</f>
        <v>1.3007494943207469</v>
      </c>
      <c r="AJ36" s="561"/>
      <c r="AK36" s="561"/>
      <c r="AL36" s="562"/>
      <c r="AM36" s="503"/>
      <c r="AN36" s="560">
        <f>AO32/AN32</f>
        <v>0.95076900448430268</v>
      </c>
      <c r="AO36" s="561"/>
      <c r="AP36" s="561"/>
      <c r="AQ36" s="562"/>
      <c r="AR36" s="560">
        <f>AS32/AR32</f>
        <v>0.75007680417318245</v>
      </c>
      <c r="AS36" s="561"/>
      <c r="AT36" s="561"/>
      <c r="AU36" s="562"/>
      <c r="AV36" s="560">
        <f>AW32/AV32</f>
        <v>0.87009954165222592</v>
      </c>
      <c r="AW36" s="561"/>
      <c r="AX36" s="561"/>
      <c r="AY36" s="562"/>
      <c r="AZ36" s="503"/>
      <c r="BA36" s="560">
        <f>BB32/BA32</f>
        <v>0</v>
      </c>
      <c r="BB36" s="561"/>
      <c r="BC36" s="561"/>
      <c r="BD36" s="562"/>
      <c r="BE36" s="560">
        <f>BF32/BE32</f>
        <v>0</v>
      </c>
      <c r="BF36" s="561"/>
      <c r="BG36" s="561"/>
      <c r="BH36" s="562"/>
      <c r="BI36" s="242"/>
      <c r="BJ36" s="240"/>
      <c r="BL36" s="227"/>
      <c r="BM36" s="236" t="s">
        <v>184</v>
      </c>
      <c r="BN36" s="227"/>
      <c r="BO36" s="235">
        <f>BM32/BK32</f>
        <v>0.96698567595874407</v>
      </c>
    </row>
    <row r="37" spans="1:75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67">
        <f>J32/I32-1</f>
        <v>-0.42993871642206671</v>
      </c>
      <c r="J37" s="568"/>
      <c r="K37" s="568"/>
      <c r="L37" s="569"/>
      <c r="M37" s="567">
        <f>N32/M32-1</f>
        <v>-0.49414183843501258</v>
      </c>
      <c r="N37" s="568"/>
      <c r="O37" s="568"/>
      <c r="P37" s="569"/>
      <c r="Q37" s="567">
        <f>R32/Q32-1</f>
        <v>-0.16481431893568188</v>
      </c>
      <c r="R37" s="568"/>
      <c r="S37" s="568"/>
      <c r="T37" s="569"/>
      <c r="U37" s="337"/>
      <c r="V37" s="567">
        <f>W32/V32-1</f>
        <v>-6.1985014043215214E-2</v>
      </c>
      <c r="W37" s="568"/>
      <c r="X37" s="568"/>
      <c r="Y37" s="569"/>
      <c r="Z37" s="567">
        <f>AA32/Z32-1</f>
        <v>-0.66703834019375274</v>
      </c>
      <c r="AA37" s="568"/>
      <c r="AB37" s="568"/>
      <c r="AC37" s="569"/>
      <c r="AD37" s="353"/>
      <c r="AE37" s="567">
        <f>AF32/AE32-1</f>
        <v>-0.12415314901109964</v>
      </c>
      <c r="AF37" s="568"/>
      <c r="AG37" s="568"/>
      <c r="AH37" s="569"/>
      <c r="AI37" s="567">
        <f>AJ32/AI32-1</f>
        <v>0.30074949432074694</v>
      </c>
      <c r="AJ37" s="568"/>
      <c r="AK37" s="568"/>
      <c r="AL37" s="569"/>
      <c r="AM37" s="504"/>
      <c r="AN37" s="567">
        <f>AO32/AN32-1</f>
        <v>-4.9230995515697318E-2</v>
      </c>
      <c r="AO37" s="568"/>
      <c r="AP37" s="568"/>
      <c r="AQ37" s="569"/>
      <c r="AR37" s="567">
        <f>AS32/AR32-1</f>
        <v>-0.24992319582681755</v>
      </c>
      <c r="AS37" s="568"/>
      <c r="AT37" s="568"/>
      <c r="AU37" s="569"/>
      <c r="AV37" s="567">
        <f>AW32/AV32-1</f>
        <v>-0.12990045834777408</v>
      </c>
      <c r="AW37" s="568"/>
      <c r="AX37" s="568"/>
      <c r="AY37" s="569"/>
      <c r="AZ37" s="504"/>
      <c r="BA37" s="567">
        <f>BB32/BA32-1</f>
        <v>-1</v>
      </c>
      <c r="BB37" s="568"/>
      <c r="BC37" s="568"/>
      <c r="BD37" s="569"/>
      <c r="BE37" s="567">
        <f>BF32/BE32-1</f>
        <v>-1</v>
      </c>
      <c r="BF37" s="568"/>
      <c r="BG37" s="568"/>
      <c r="BH37" s="569"/>
      <c r="BI37" s="241"/>
      <c r="BJ37" s="240"/>
      <c r="BL37" s="227"/>
      <c r="BM37" s="236"/>
      <c r="BN37" s="227"/>
      <c r="BO37" s="235"/>
    </row>
    <row r="38" spans="1:75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46">
        <f>J32/I32</f>
        <v>0.57006128357793329</v>
      </c>
      <c r="J38" s="547"/>
      <c r="K38" s="547"/>
      <c r="L38" s="548"/>
      <c r="M38" s="546">
        <f>N35/M35</f>
        <v>0.53286439807574826</v>
      </c>
      <c r="N38" s="547"/>
      <c r="O38" s="547"/>
      <c r="P38" s="548"/>
      <c r="Q38" s="546">
        <f>R35/Q35</f>
        <v>0.59668461925406868</v>
      </c>
      <c r="R38" s="547"/>
      <c r="S38" s="547"/>
      <c r="T38" s="548"/>
      <c r="U38" s="338"/>
      <c r="V38" s="546">
        <f>W35/V35</f>
        <v>0.9744057253743178</v>
      </c>
      <c r="W38" s="547"/>
      <c r="X38" s="547"/>
      <c r="Y38" s="548"/>
      <c r="Z38" s="546">
        <f>AA35/Z35</f>
        <v>0.81799514149872865</v>
      </c>
      <c r="AA38" s="547"/>
      <c r="AB38" s="547"/>
      <c r="AC38" s="548"/>
      <c r="AD38" s="354"/>
      <c r="AE38" s="546">
        <f>AF35/AE35</f>
        <v>0.97994914992328352</v>
      </c>
      <c r="AF38" s="547"/>
      <c r="AG38" s="547"/>
      <c r="AH38" s="548"/>
      <c r="AI38" s="546">
        <f>AJ35/AI35</f>
        <v>1.0321658568691117</v>
      </c>
      <c r="AJ38" s="547"/>
      <c r="AK38" s="547"/>
      <c r="AL38" s="548"/>
      <c r="AM38" s="505"/>
      <c r="AN38" s="570">
        <f>AO35/AN35</f>
        <v>0.99255876241298469</v>
      </c>
      <c r="AO38" s="570"/>
      <c r="AP38" s="570"/>
      <c r="AQ38" s="570"/>
      <c r="AR38" s="570">
        <f>AS35/AR35</f>
        <v>0.97362800224744017</v>
      </c>
      <c r="AS38" s="570"/>
      <c r="AT38" s="570"/>
      <c r="AU38" s="570"/>
      <c r="AV38" s="570">
        <f>AW35/AV35</f>
        <v>0.96415854533941925</v>
      </c>
      <c r="AW38" s="570"/>
      <c r="AX38" s="570"/>
      <c r="AY38" s="570"/>
      <c r="AZ38" s="505"/>
      <c r="BA38" s="570">
        <f>BB35/BA35</f>
        <v>0.8010516936625498</v>
      </c>
      <c r="BB38" s="570"/>
      <c r="BC38" s="570"/>
      <c r="BD38" s="570"/>
      <c r="BE38" s="570">
        <f>BF35/BE35</f>
        <v>0.76328765165104773</v>
      </c>
      <c r="BF38" s="570"/>
      <c r="BG38" s="570"/>
      <c r="BH38" s="570"/>
      <c r="BI38" s="242"/>
      <c r="BJ38" s="240"/>
      <c r="BL38" s="227"/>
      <c r="BM38" s="236" t="s">
        <v>183</v>
      </c>
      <c r="BN38" s="227"/>
      <c r="BO38" s="235">
        <f>E32/D32</f>
        <v>0.76934348336441005</v>
      </c>
    </row>
    <row r="39" spans="1:75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67">
        <f>J32/I32-1</f>
        <v>-0.42993871642206671</v>
      </c>
      <c r="J39" s="568"/>
      <c r="K39" s="568"/>
      <c r="L39" s="569"/>
      <c r="M39" s="567">
        <f>N35/M35-1</f>
        <v>-0.46713560192425174</v>
      </c>
      <c r="N39" s="568"/>
      <c r="O39" s="568"/>
      <c r="P39" s="569"/>
      <c r="Q39" s="567">
        <f>R35/Q35-1</f>
        <v>-0.40331538074593132</v>
      </c>
      <c r="R39" s="568"/>
      <c r="S39" s="568"/>
      <c r="T39" s="569"/>
      <c r="U39" s="337"/>
      <c r="V39" s="567">
        <f>W35/V35-1</f>
        <v>-2.5594274625682201E-2</v>
      </c>
      <c r="W39" s="568"/>
      <c r="X39" s="568"/>
      <c r="Y39" s="569"/>
      <c r="Z39" s="567">
        <f>AA35/Z35-1</f>
        <v>-0.18200485850127135</v>
      </c>
      <c r="AA39" s="568"/>
      <c r="AB39" s="568"/>
      <c r="AC39" s="569"/>
      <c r="AD39" s="353"/>
      <c r="AE39" s="567">
        <f>AF35/AE35-1</f>
        <v>-2.0050850076716475E-2</v>
      </c>
      <c r="AF39" s="568"/>
      <c r="AG39" s="568"/>
      <c r="AH39" s="569"/>
      <c r="AI39" s="567">
        <f>AJ35/AI35-1</f>
        <v>3.2165856869111664E-2</v>
      </c>
      <c r="AJ39" s="568"/>
      <c r="AK39" s="568"/>
      <c r="AL39" s="569"/>
      <c r="AM39" s="504"/>
      <c r="AN39" s="567">
        <f>AO35/AN35-1</f>
        <v>-7.4412375870153147E-3</v>
      </c>
      <c r="AO39" s="568"/>
      <c r="AP39" s="568"/>
      <c r="AQ39" s="569"/>
      <c r="AR39" s="567">
        <f>AS35/AR35-1</f>
        <v>-2.6371997752559828E-2</v>
      </c>
      <c r="AS39" s="568"/>
      <c r="AT39" s="568"/>
      <c r="AU39" s="569"/>
      <c r="AV39" s="567">
        <f>AW35/AV35-1</f>
        <v>-3.5841454660580752E-2</v>
      </c>
      <c r="AW39" s="568"/>
      <c r="AX39" s="568"/>
      <c r="AY39" s="569"/>
      <c r="AZ39" s="504"/>
      <c r="BA39" s="567">
        <f>BB35/BA35-1</f>
        <v>-0.1989483063374502</v>
      </c>
      <c r="BB39" s="568"/>
      <c r="BC39" s="568"/>
      <c r="BD39" s="569"/>
      <c r="BE39" s="567">
        <f>BF35/BE35-1</f>
        <v>-0.23671234834895227</v>
      </c>
      <c r="BF39" s="568"/>
      <c r="BG39" s="568"/>
      <c r="BH39" s="569"/>
      <c r="BI39" s="241"/>
      <c r="BJ39" s="240"/>
      <c r="BL39" s="227"/>
      <c r="BM39" s="236"/>
      <c r="BN39" s="227"/>
      <c r="BO39" s="235"/>
    </row>
    <row r="40" spans="1:75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6"/>
      <c r="AP40" s="237"/>
      <c r="AT40" s="237"/>
      <c r="AZ40" s="506"/>
      <c r="BL40" s="227"/>
      <c r="BM40" s="236" t="s">
        <v>182</v>
      </c>
      <c r="BN40" s="214"/>
      <c r="BO40" s="235">
        <f>BM32/E32</f>
        <v>0.67104670556505641</v>
      </c>
    </row>
    <row r="41" spans="1:75" x14ac:dyDescent="0.2">
      <c r="G41" s="215"/>
      <c r="H41" s="215"/>
      <c r="Z41" s="199"/>
      <c r="BK41" s="215"/>
      <c r="BL41" s="215"/>
    </row>
    <row r="42" spans="1:75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Reconcile'!E178, "Yes", "No")</f>
        <v>Yes</v>
      </c>
      <c r="E42" s="232" t="str">
        <f>IF(E32='[1]ALRR Reconcile'!H178, "Yes", "No")</f>
        <v>Yes</v>
      </c>
      <c r="F42" s="232" t="str">
        <f>IF(F32='[1]ALRR Reconcile'!F178, "Yes", "No")</f>
        <v>Yes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7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507"/>
      <c r="BA42" s="231"/>
      <c r="BB42" s="231"/>
      <c r="BC42" s="231"/>
      <c r="BD42" s="230" t="str">
        <f>IF(BD35='[1]ALRR Reconcile'!$J$147,"Yes","No")</f>
        <v>No</v>
      </c>
      <c r="BE42" s="231"/>
      <c r="BF42" s="231"/>
      <c r="BG42" s="231"/>
      <c r="BH42" s="230" t="str">
        <f>IF(BH35='[1]ALRR Reconcile'!$J$147,"Yes","No")</f>
        <v>No</v>
      </c>
      <c r="BI42" s="230"/>
      <c r="BJ42" s="230" t="e">
        <f>IF(BJ35='[1]ALRR Reconcile'!$J$147,"Yes","No")</f>
        <v>#REF!</v>
      </c>
      <c r="BK42" s="229"/>
      <c r="BL42" s="229"/>
      <c r="BM42" s="230"/>
      <c r="BN42" s="229"/>
      <c r="BO42" s="229"/>
    </row>
    <row r="43" spans="1:75" x14ac:dyDescent="0.2">
      <c r="L43" s="228"/>
      <c r="P43" s="228"/>
      <c r="T43" s="228"/>
      <c r="U43" s="228"/>
      <c r="Y43" s="228"/>
      <c r="AD43" s="228"/>
      <c r="AH43" s="211"/>
      <c r="AL43" s="211"/>
      <c r="AM43" s="508"/>
      <c r="AQ43" s="228"/>
      <c r="AU43" s="228"/>
      <c r="AY43" s="228"/>
      <c r="AZ43" s="508"/>
      <c r="BL43" s="227"/>
    </row>
    <row r="44" spans="1:75" x14ac:dyDescent="0.2">
      <c r="BL44" s="215"/>
    </row>
    <row r="46" spans="1:75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335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227"/>
      <c r="BL46" s="227"/>
      <c r="BM46" s="227"/>
    </row>
    <row r="47" spans="1:75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335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227"/>
      <c r="BL47" s="227"/>
      <c r="BM47" s="227"/>
    </row>
    <row r="48" spans="1:75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335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227"/>
      <c r="BL48" s="227"/>
      <c r="BM48" s="227"/>
    </row>
    <row r="49" spans="1:65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335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227"/>
      <c r="BL49" s="227"/>
      <c r="BM49" s="227"/>
    </row>
    <row r="50" spans="1:65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335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227"/>
      <c r="BM50" s="227"/>
    </row>
    <row r="51" spans="1:65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335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227"/>
      <c r="BL51" s="227"/>
      <c r="BM51" s="227"/>
    </row>
    <row r="52" spans="1:65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335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227"/>
      <c r="BL52" s="227"/>
      <c r="BM52" s="227"/>
    </row>
    <row r="53" spans="1:65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335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227"/>
      <c r="BL53" s="227"/>
      <c r="BM53" s="227"/>
    </row>
    <row r="54" spans="1:65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335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227"/>
      <c r="BL54" s="227"/>
      <c r="BM54" s="227"/>
    </row>
    <row r="55" spans="1:65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335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227"/>
      <c r="BL55" s="227"/>
      <c r="BM55" s="227"/>
    </row>
    <row r="56" spans="1:65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335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227"/>
      <c r="BL56" s="227"/>
      <c r="BM56" s="227"/>
    </row>
    <row r="57" spans="1:65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335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227"/>
      <c r="BL57" s="227"/>
      <c r="BM57" s="227"/>
    </row>
    <row r="58" spans="1:65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335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227"/>
      <c r="BL58" s="227"/>
      <c r="BM58" s="227"/>
    </row>
  </sheetData>
  <mergeCells count="117">
    <mergeCell ref="BE38:BH38"/>
    <mergeCell ref="B14:B24"/>
    <mergeCell ref="C14:C24"/>
    <mergeCell ref="D14:D24"/>
    <mergeCell ref="E14:E24"/>
    <mergeCell ref="F14:F24"/>
    <mergeCell ref="H14:H24"/>
    <mergeCell ref="AV39:AY39"/>
    <mergeCell ref="BA39:BD39"/>
    <mergeCell ref="BE39:BH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  <mergeCell ref="AV37:AY37"/>
    <mergeCell ref="BA37:BD37"/>
    <mergeCell ref="BE37:BH37"/>
    <mergeCell ref="I38:L38"/>
    <mergeCell ref="BA38:BD38"/>
    <mergeCell ref="V38:Y38"/>
    <mergeCell ref="Z38:AC38"/>
    <mergeCell ref="AE38:AH38"/>
    <mergeCell ref="AI38:AL38"/>
    <mergeCell ref="AN38:AQ38"/>
    <mergeCell ref="AR38:AU38"/>
    <mergeCell ref="AV38:AY38"/>
    <mergeCell ref="Q38:T38"/>
    <mergeCell ref="AH11:AH12"/>
    <mergeCell ref="AM10:AM12"/>
    <mergeCell ref="BI11:BI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AY11:AY12"/>
    <mergeCell ref="AF11:AF12"/>
    <mergeCell ref="M38:P38"/>
    <mergeCell ref="BL11:BL12"/>
    <mergeCell ref="BM11:BM12"/>
    <mergeCell ref="BN11:BN12"/>
    <mergeCell ref="BO11:BO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BA36:BD36"/>
    <mergeCell ref="BE36:BH36"/>
    <mergeCell ref="BA11:BA12"/>
    <mergeCell ref="BB11:BB12"/>
    <mergeCell ref="BD11:BD12"/>
    <mergeCell ref="BE11:BE12"/>
    <mergeCell ref="BF11:BF12"/>
    <mergeCell ref="BH11:BH12"/>
    <mergeCell ref="BI10:BJ10"/>
    <mergeCell ref="BJ11:BJ12"/>
    <mergeCell ref="A11:A12"/>
    <mergeCell ref="I11:I12"/>
    <mergeCell ref="J11:J12"/>
    <mergeCell ref="L11:L12"/>
    <mergeCell ref="AR10:AU10"/>
    <mergeCell ref="AV10:AY10"/>
    <mergeCell ref="BA10:BD10"/>
    <mergeCell ref="BE10:BH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Z10:AZ12"/>
    <mergeCell ref="BK10:BM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K11:BK12"/>
    <mergeCell ref="AN11:AN12"/>
    <mergeCell ref="AO11:AO12"/>
    <mergeCell ref="AQ11:AQ12"/>
    <mergeCell ref="AR11:AR12"/>
    <mergeCell ref="AS11:AS12"/>
    <mergeCell ref="AU11:AU12"/>
    <mergeCell ref="AV11:AV12"/>
    <mergeCell ref="AW11:AW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80" t="s">
        <v>3</v>
      </c>
      <c r="B6" s="580"/>
      <c r="C6" s="580"/>
      <c r="D6" s="580"/>
      <c r="E6" s="580"/>
      <c r="F6" s="580"/>
      <c r="G6" s="147"/>
      <c r="H6" s="147"/>
      <c r="I6" s="147"/>
      <c r="J6" s="147"/>
    </row>
    <row r="7" spans="1:10" ht="15.75" x14ac:dyDescent="0.25">
      <c r="A7" s="581" t="s">
        <v>186</v>
      </c>
      <c r="B7" s="581"/>
      <c r="C7" s="581"/>
      <c r="D7" s="581"/>
      <c r="E7" s="581"/>
      <c r="F7" s="581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82" t="s">
        <v>38</v>
      </c>
      <c r="B10" s="583"/>
      <c r="C10" s="583"/>
      <c r="D10" s="583"/>
      <c r="E10" s="583"/>
      <c r="F10" s="583"/>
      <c r="G10" s="583"/>
      <c r="H10" s="583"/>
      <c r="I10" s="584"/>
      <c r="J10" s="45"/>
    </row>
    <row r="11" spans="1:10" ht="15" customHeight="1" x14ac:dyDescent="0.25">
      <c r="A11" s="149" t="s">
        <v>39</v>
      </c>
      <c r="B11" s="574" t="s">
        <v>40</v>
      </c>
      <c r="C11" s="575"/>
      <c r="D11" s="575"/>
      <c r="E11" s="575"/>
      <c r="F11" s="575"/>
      <c r="G11" s="575"/>
      <c r="H11" s="575"/>
      <c r="I11" s="576"/>
      <c r="J11" s="150"/>
    </row>
    <row r="12" spans="1:10" ht="31.5" customHeight="1" x14ac:dyDescent="0.25">
      <c r="A12" s="149" t="s">
        <v>41</v>
      </c>
      <c r="B12" s="574" t="s">
        <v>42</v>
      </c>
      <c r="C12" s="575"/>
      <c r="D12" s="575"/>
      <c r="E12" s="575"/>
      <c r="F12" s="575"/>
      <c r="G12" s="575"/>
      <c r="H12" s="575"/>
      <c r="I12" s="575"/>
      <c r="J12" s="150"/>
    </row>
    <row r="13" spans="1:10" ht="30.75" customHeight="1" x14ac:dyDescent="0.25">
      <c r="A13" s="149" t="s">
        <v>43</v>
      </c>
      <c r="B13" s="574" t="s">
        <v>44</v>
      </c>
      <c r="C13" s="575"/>
      <c r="D13" s="575"/>
      <c r="E13" s="575"/>
      <c r="F13" s="575"/>
      <c r="G13" s="575"/>
      <c r="H13" s="575"/>
      <c r="I13" s="576"/>
      <c r="J13" s="150"/>
    </row>
    <row r="14" spans="1:10" x14ac:dyDescent="0.25">
      <c r="A14" s="149" t="s">
        <v>45</v>
      </c>
      <c r="B14" s="574" t="s">
        <v>46</v>
      </c>
      <c r="C14" s="575"/>
      <c r="D14" s="575"/>
      <c r="E14" s="575"/>
      <c r="F14" s="575"/>
      <c r="G14" s="575"/>
      <c r="H14" s="575"/>
      <c r="I14" s="576"/>
      <c r="J14" s="150"/>
    </row>
    <row r="15" spans="1:10" ht="28.5" customHeight="1" x14ac:dyDescent="0.25">
      <c r="A15" s="149" t="s">
        <v>47</v>
      </c>
      <c r="B15" s="577" t="s">
        <v>217</v>
      </c>
      <c r="C15" s="578"/>
      <c r="D15" s="578"/>
      <c r="E15" s="578"/>
      <c r="F15" s="578"/>
      <c r="G15" s="578"/>
      <c r="H15" s="578"/>
      <c r="I15" s="579"/>
      <c r="J15" s="150"/>
    </row>
    <row r="16" spans="1:10" ht="30" customHeight="1" x14ac:dyDescent="0.25">
      <c r="A16" s="149" t="s">
        <v>48</v>
      </c>
      <c r="B16" s="577" t="s">
        <v>233</v>
      </c>
      <c r="C16" s="575"/>
      <c r="D16" s="575"/>
      <c r="E16" s="575"/>
      <c r="F16" s="575"/>
      <c r="G16" s="575"/>
      <c r="H16" s="575"/>
      <c r="I16" s="576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N57"/>
  <sheetViews>
    <sheetView zoomScale="90" zoomScaleNormal="90" workbookViewId="0">
      <pane xSplit="4" ySplit="9" topLeftCell="AX19" activePane="bottomRight" state="frozen"/>
      <selection pane="topRight" activeCell="F1" sqref="F1"/>
      <selection pane="bottomLeft" activeCell="A10" sqref="A10"/>
      <selection pane="bottomRight" activeCell="AV25" sqref="AV25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7" width="16.7109375" style="335" customWidth="1"/>
    <col min="48" max="48" width="25.7109375" style="335" bestFit="1" customWidth="1"/>
    <col min="49" max="50" width="16.7109375" style="335" customWidth="1"/>
    <col min="51" max="51" width="16.7109375" style="335" hidden="1" customWidth="1"/>
    <col min="52" max="54" width="16.7109375" style="335" customWidth="1"/>
    <col min="55" max="55" width="16.7109375" style="335" hidden="1" customWidth="1"/>
    <col min="56" max="58" width="16.7109375" style="335" customWidth="1"/>
    <col min="59" max="59" width="16.85546875" style="335" bestFit="1" customWidth="1"/>
    <col min="60" max="62" width="16.85546875" style="335" hidden="1" customWidth="1"/>
    <col min="63" max="63" width="17.7109375" style="335" hidden="1" customWidth="1"/>
    <col min="64" max="64" width="16.85546875" style="335" hidden="1" customWidth="1"/>
    <col min="65" max="65" width="15.7109375" style="335" hidden="1" customWidth="1"/>
    <col min="66" max="66" width="16.42578125" style="335" bestFit="1" customWidth="1"/>
    <col min="67" max="16384" width="9.140625" style="335"/>
  </cols>
  <sheetData>
    <row r="2" spans="1:66" ht="15" thickBot="1" x14ac:dyDescent="0.25"/>
    <row r="3" spans="1:66" ht="15" customHeight="1" thickTop="1" x14ac:dyDescent="0.2">
      <c r="E3" s="588" t="s">
        <v>143</v>
      </c>
      <c r="F3" s="589"/>
      <c r="G3" s="589"/>
      <c r="H3" s="590"/>
      <c r="I3" s="593" t="s">
        <v>144</v>
      </c>
      <c r="J3" s="594"/>
      <c r="K3" s="594"/>
      <c r="L3" s="595"/>
      <c r="M3" s="593" t="s">
        <v>145</v>
      </c>
      <c r="N3" s="598"/>
      <c r="O3" s="598"/>
      <c r="P3" s="599"/>
      <c r="Q3" s="585" t="s">
        <v>219</v>
      </c>
      <c r="R3" s="593" t="s">
        <v>146</v>
      </c>
      <c r="S3" s="598"/>
      <c r="T3" s="598"/>
      <c r="U3" s="599"/>
      <c r="V3" s="593" t="s">
        <v>147</v>
      </c>
      <c r="W3" s="594"/>
      <c r="X3" s="594"/>
      <c r="Y3" s="595"/>
      <c r="Z3" s="585" t="s">
        <v>232</v>
      </c>
      <c r="AA3" s="593" t="s">
        <v>148</v>
      </c>
      <c r="AB3" s="594"/>
      <c r="AC3" s="594"/>
      <c r="AD3" s="595"/>
      <c r="AE3" s="593" t="s">
        <v>149</v>
      </c>
      <c r="AF3" s="594"/>
      <c r="AG3" s="594"/>
      <c r="AH3" s="595"/>
      <c r="AI3" s="585" t="s">
        <v>234</v>
      </c>
      <c r="AJ3" s="593" t="s">
        <v>150</v>
      </c>
      <c r="AK3" s="594"/>
      <c r="AL3" s="594"/>
      <c r="AM3" s="595"/>
      <c r="AN3" s="593" t="s">
        <v>151</v>
      </c>
      <c r="AO3" s="594"/>
      <c r="AP3" s="594"/>
      <c r="AQ3" s="595"/>
      <c r="AR3" s="593" t="s">
        <v>152</v>
      </c>
      <c r="AS3" s="594"/>
      <c r="AT3" s="594"/>
      <c r="AU3" s="595"/>
      <c r="AV3" s="585" t="s">
        <v>235</v>
      </c>
      <c r="AW3" s="593" t="s">
        <v>153</v>
      </c>
      <c r="AX3" s="594"/>
      <c r="AY3" s="594"/>
      <c r="AZ3" s="595"/>
      <c r="BA3" s="593" t="s">
        <v>154</v>
      </c>
      <c r="BB3" s="594"/>
      <c r="BC3" s="594"/>
      <c r="BD3" s="595"/>
      <c r="BE3" s="608" t="s">
        <v>156</v>
      </c>
      <c r="BF3" s="595"/>
    </row>
    <row r="4" spans="1:66" ht="15.75" customHeight="1" thickBot="1" x14ac:dyDescent="0.25">
      <c r="E4" s="591"/>
      <c r="F4" s="591"/>
      <c r="G4" s="591"/>
      <c r="H4" s="592"/>
      <c r="I4" s="596"/>
      <c r="J4" s="596"/>
      <c r="K4" s="596"/>
      <c r="L4" s="597"/>
      <c r="M4" s="600"/>
      <c r="N4" s="600"/>
      <c r="O4" s="600"/>
      <c r="P4" s="601"/>
      <c r="Q4" s="586"/>
      <c r="R4" s="600"/>
      <c r="S4" s="600"/>
      <c r="T4" s="600"/>
      <c r="U4" s="601"/>
      <c r="V4" s="596"/>
      <c r="W4" s="596"/>
      <c r="X4" s="596"/>
      <c r="Y4" s="597"/>
      <c r="Z4" s="586"/>
      <c r="AA4" s="596"/>
      <c r="AB4" s="596"/>
      <c r="AC4" s="596"/>
      <c r="AD4" s="597"/>
      <c r="AE4" s="596"/>
      <c r="AF4" s="596"/>
      <c r="AG4" s="596"/>
      <c r="AH4" s="597"/>
      <c r="AI4" s="586"/>
      <c r="AJ4" s="596"/>
      <c r="AK4" s="596"/>
      <c r="AL4" s="596"/>
      <c r="AM4" s="597"/>
      <c r="AN4" s="596"/>
      <c r="AO4" s="596"/>
      <c r="AP4" s="596"/>
      <c r="AQ4" s="597"/>
      <c r="AR4" s="596"/>
      <c r="AS4" s="596"/>
      <c r="AT4" s="596"/>
      <c r="AU4" s="597"/>
      <c r="AV4" s="586"/>
      <c r="AW4" s="596"/>
      <c r="AX4" s="596"/>
      <c r="AY4" s="596"/>
      <c r="AZ4" s="597"/>
      <c r="BA4" s="596"/>
      <c r="BB4" s="596"/>
      <c r="BC4" s="596"/>
      <c r="BD4" s="597"/>
      <c r="BE4" s="609"/>
      <c r="BF4" s="597"/>
    </row>
    <row r="5" spans="1:66" ht="15" customHeight="1" thickBot="1" x14ac:dyDescent="0.25">
      <c r="C5" s="610" t="s">
        <v>180</v>
      </c>
      <c r="D5" s="612" t="s">
        <v>179</v>
      </c>
      <c r="E5" s="615" t="s">
        <v>49</v>
      </c>
      <c r="F5" s="616" t="s">
        <v>50</v>
      </c>
      <c r="G5" s="425"/>
      <c r="H5" s="602" t="s">
        <v>51</v>
      </c>
      <c r="I5" s="604" t="s">
        <v>52</v>
      </c>
      <c r="J5" s="606" t="s">
        <v>53</v>
      </c>
      <c r="K5" s="424"/>
      <c r="L5" s="602" t="s">
        <v>54</v>
      </c>
      <c r="M5" s="604" t="s">
        <v>55</v>
      </c>
      <c r="N5" s="606" t="s">
        <v>56</v>
      </c>
      <c r="O5" s="424"/>
      <c r="P5" s="602" t="s">
        <v>57</v>
      </c>
      <c r="Q5" s="586"/>
      <c r="R5" s="604" t="s">
        <v>58</v>
      </c>
      <c r="S5" s="606" t="s">
        <v>59</v>
      </c>
      <c r="T5" s="424"/>
      <c r="U5" s="602" t="s">
        <v>60</v>
      </c>
      <c r="V5" s="604" t="s">
        <v>61</v>
      </c>
      <c r="W5" s="606" t="s">
        <v>62</v>
      </c>
      <c r="X5" s="424"/>
      <c r="Y5" s="602" t="s">
        <v>63</v>
      </c>
      <c r="Z5" s="586"/>
      <c r="AA5" s="604" t="s">
        <v>64</v>
      </c>
      <c r="AB5" s="606" t="s">
        <v>65</v>
      </c>
      <c r="AC5" s="424"/>
      <c r="AD5" s="602" t="s">
        <v>66</v>
      </c>
      <c r="AE5" s="604" t="s">
        <v>67</v>
      </c>
      <c r="AF5" s="606" t="s">
        <v>68</v>
      </c>
      <c r="AG5" s="424"/>
      <c r="AH5" s="602" t="s">
        <v>69</v>
      </c>
      <c r="AI5" s="586"/>
      <c r="AJ5" s="604" t="s">
        <v>70</v>
      </c>
      <c r="AK5" s="606" t="s">
        <v>71</v>
      </c>
      <c r="AL5" s="424"/>
      <c r="AM5" s="602" t="s">
        <v>72</v>
      </c>
      <c r="AN5" s="604" t="s">
        <v>73</v>
      </c>
      <c r="AO5" s="606" t="s">
        <v>74</v>
      </c>
      <c r="AP5" s="424"/>
      <c r="AQ5" s="602" t="s">
        <v>75</v>
      </c>
      <c r="AR5" s="604" t="s">
        <v>76</v>
      </c>
      <c r="AS5" s="606" t="s">
        <v>77</v>
      </c>
      <c r="AT5" s="424"/>
      <c r="AU5" s="602" t="s">
        <v>78</v>
      </c>
      <c r="AV5" s="586"/>
      <c r="AW5" s="604" t="s">
        <v>79</v>
      </c>
      <c r="AX5" s="606" t="s">
        <v>80</v>
      </c>
      <c r="AY5" s="424"/>
      <c r="AZ5" s="602" t="s">
        <v>81</v>
      </c>
      <c r="BA5" s="604" t="s">
        <v>82</v>
      </c>
      <c r="BB5" s="606" t="s">
        <v>83</v>
      </c>
      <c r="BC5" s="424"/>
      <c r="BD5" s="602" t="s">
        <v>84</v>
      </c>
      <c r="BE5" s="618" t="s">
        <v>85</v>
      </c>
      <c r="BF5" s="621" t="s">
        <v>86</v>
      </c>
      <c r="BG5" s="623" t="s">
        <v>87</v>
      </c>
      <c r="BH5" s="624" t="s">
        <v>230</v>
      </c>
      <c r="BI5" s="624" t="s">
        <v>88</v>
      </c>
      <c r="BJ5" s="624" t="s">
        <v>229</v>
      </c>
      <c r="BK5" s="624" t="s">
        <v>228</v>
      </c>
      <c r="BL5" s="624" t="s">
        <v>227</v>
      </c>
      <c r="BM5" s="624" t="s">
        <v>226</v>
      </c>
    </row>
    <row r="6" spans="1:66" ht="15.75" customHeight="1" thickBot="1" x14ac:dyDescent="0.3">
      <c r="A6" s="625" t="s">
        <v>3</v>
      </c>
      <c r="B6" s="625"/>
      <c r="C6" s="610"/>
      <c r="D6" s="613"/>
      <c r="E6" s="605"/>
      <c r="F6" s="617"/>
      <c r="G6" s="425"/>
      <c r="H6" s="603"/>
      <c r="I6" s="605"/>
      <c r="J6" s="607"/>
      <c r="K6" s="423"/>
      <c r="L6" s="603"/>
      <c r="M6" s="605"/>
      <c r="N6" s="607"/>
      <c r="O6" s="423"/>
      <c r="P6" s="603"/>
      <c r="Q6" s="586"/>
      <c r="R6" s="605"/>
      <c r="S6" s="607"/>
      <c r="T6" s="423"/>
      <c r="U6" s="603"/>
      <c r="V6" s="605"/>
      <c r="W6" s="607"/>
      <c r="X6" s="423"/>
      <c r="Y6" s="603"/>
      <c r="Z6" s="586"/>
      <c r="AA6" s="605"/>
      <c r="AB6" s="607"/>
      <c r="AC6" s="423"/>
      <c r="AD6" s="603"/>
      <c r="AE6" s="605"/>
      <c r="AF6" s="607"/>
      <c r="AG6" s="423"/>
      <c r="AH6" s="603"/>
      <c r="AI6" s="586"/>
      <c r="AJ6" s="605"/>
      <c r="AK6" s="607"/>
      <c r="AL6" s="423"/>
      <c r="AM6" s="603"/>
      <c r="AN6" s="605"/>
      <c r="AO6" s="607"/>
      <c r="AP6" s="423"/>
      <c r="AQ6" s="603"/>
      <c r="AR6" s="605"/>
      <c r="AS6" s="607"/>
      <c r="AT6" s="423"/>
      <c r="AU6" s="603"/>
      <c r="AV6" s="586"/>
      <c r="AW6" s="605"/>
      <c r="AX6" s="607"/>
      <c r="AY6" s="423"/>
      <c r="AZ6" s="603"/>
      <c r="BA6" s="605"/>
      <c r="BB6" s="607"/>
      <c r="BC6" s="423"/>
      <c r="BD6" s="603"/>
      <c r="BE6" s="619"/>
      <c r="BF6" s="622"/>
      <c r="BG6" s="623"/>
      <c r="BH6" s="624"/>
      <c r="BI6" s="624"/>
      <c r="BJ6" s="624"/>
      <c r="BK6" s="624"/>
      <c r="BL6" s="624"/>
      <c r="BM6" s="624"/>
    </row>
    <row r="7" spans="1:66" ht="16.5" customHeight="1" thickBot="1" x14ac:dyDescent="0.3">
      <c r="A7" s="626" t="s">
        <v>142</v>
      </c>
      <c r="B7" s="626"/>
      <c r="C7" s="610"/>
      <c r="D7" s="613"/>
      <c r="E7" s="605"/>
      <c r="F7" s="617"/>
      <c r="G7" s="425"/>
      <c r="H7" s="603"/>
      <c r="I7" s="605"/>
      <c r="J7" s="607"/>
      <c r="K7" s="423"/>
      <c r="L7" s="603"/>
      <c r="M7" s="605"/>
      <c r="N7" s="607"/>
      <c r="O7" s="423"/>
      <c r="P7" s="603"/>
      <c r="Q7" s="586"/>
      <c r="R7" s="605"/>
      <c r="S7" s="607"/>
      <c r="T7" s="423"/>
      <c r="U7" s="603"/>
      <c r="V7" s="605"/>
      <c r="W7" s="607"/>
      <c r="X7" s="423"/>
      <c r="Y7" s="603"/>
      <c r="Z7" s="586"/>
      <c r="AA7" s="605"/>
      <c r="AB7" s="607"/>
      <c r="AC7" s="423"/>
      <c r="AD7" s="603"/>
      <c r="AE7" s="605"/>
      <c r="AF7" s="607"/>
      <c r="AG7" s="423"/>
      <c r="AH7" s="603"/>
      <c r="AI7" s="586"/>
      <c r="AJ7" s="605"/>
      <c r="AK7" s="607"/>
      <c r="AL7" s="423"/>
      <c r="AM7" s="603"/>
      <c r="AN7" s="605"/>
      <c r="AO7" s="607"/>
      <c r="AP7" s="423"/>
      <c r="AQ7" s="603"/>
      <c r="AR7" s="605"/>
      <c r="AS7" s="607"/>
      <c r="AT7" s="423"/>
      <c r="AU7" s="603"/>
      <c r="AV7" s="586"/>
      <c r="AW7" s="605"/>
      <c r="AX7" s="607"/>
      <c r="AY7" s="423"/>
      <c r="AZ7" s="603"/>
      <c r="BA7" s="605"/>
      <c r="BB7" s="607"/>
      <c r="BC7" s="423"/>
      <c r="BD7" s="603"/>
      <c r="BE7" s="619"/>
      <c r="BF7" s="622"/>
      <c r="BG7" s="623"/>
      <c r="BH7" s="624"/>
      <c r="BI7" s="624"/>
      <c r="BJ7" s="624"/>
      <c r="BK7" s="624"/>
      <c r="BL7" s="624"/>
      <c r="BM7" s="624"/>
    </row>
    <row r="8" spans="1:66" ht="15.75" customHeight="1" thickBot="1" x14ac:dyDescent="0.25">
      <c r="C8" s="610"/>
      <c r="D8" s="613"/>
      <c r="E8" s="605"/>
      <c r="F8" s="617"/>
      <c r="G8" s="425"/>
      <c r="H8" s="603"/>
      <c r="I8" s="605"/>
      <c r="J8" s="607"/>
      <c r="K8" s="423"/>
      <c r="L8" s="603"/>
      <c r="M8" s="605"/>
      <c r="N8" s="607"/>
      <c r="O8" s="423"/>
      <c r="P8" s="603"/>
      <c r="Q8" s="586"/>
      <c r="R8" s="605"/>
      <c r="S8" s="607"/>
      <c r="T8" s="423"/>
      <c r="U8" s="603"/>
      <c r="V8" s="605"/>
      <c r="W8" s="607"/>
      <c r="X8" s="423"/>
      <c r="Y8" s="603"/>
      <c r="Z8" s="586"/>
      <c r="AA8" s="605"/>
      <c r="AB8" s="607"/>
      <c r="AC8" s="423"/>
      <c r="AD8" s="603"/>
      <c r="AE8" s="605"/>
      <c r="AF8" s="607"/>
      <c r="AG8" s="423"/>
      <c r="AH8" s="603"/>
      <c r="AI8" s="586"/>
      <c r="AJ8" s="605"/>
      <c r="AK8" s="607"/>
      <c r="AL8" s="423"/>
      <c r="AM8" s="603"/>
      <c r="AN8" s="605"/>
      <c r="AO8" s="607"/>
      <c r="AP8" s="423"/>
      <c r="AQ8" s="603"/>
      <c r="AR8" s="605"/>
      <c r="AS8" s="607"/>
      <c r="AT8" s="423"/>
      <c r="AU8" s="603"/>
      <c r="AV8" s="586"/>
      <c r="AW8" s="605"/>
      <c r="AX8" s="607"/>
      <c r="AY8" s="423"/>
      <c r="AZ8" s="603"/>
      <c r="BA8" s="605"/>
      <c r="BB8" s="607"/>
      <c r="BC8" s="423"/>
      <c r="BD8" s="603"/>
      <c r="BE8" s="619"/>
      <c r="BF8" s="622"/>
      <c r="BG8" s="623"/>
      <c r="BH8" s="624"/>
      <c r="BI8" s="624"/>
      <c r="BJ8" s="624"/>
      <c r="BK8" s="624"/>
      <c r="BL8" s="624"/>
      <c r="BM8" s="624"/>
    </row>
    <row r="9" spans="1:66" ht="27" customHeight="1" thickBot="1" x14ac:dyDescent="0.25">
      <c r="A9" s="26" t="s">
        <v>89</v>
      </c>
      <c r="B9" s="26" t="s">
        <v>90</v>
      </c>
      <c r="C9" s="611"/>
      <c r="D9" s="614"/>
      <c r="E9" s="605"/>
      <c r="F9" s="606"/>
      <c r="G9" s="424"/>
      <c r="H9" s="603"/>
      <c r="I9" s="605"/>
      <c r="J9" s="607"/>
      <c r="K9" s="423"/>
      <c r="L9" s="603"/>
      <c r="M9" s="605"/>
      <c r="N9" s="607"/>
      <c r="O9" s="423"/>
      <c r="P9" s="603"/>
      <c r="Q9" s="587"/>
      <c r="R9" s="605"/>
      <c r="S9" s="607"/>
      <c r="T9" s="423"/>
      <c r="U9" s="603"/>
      <c r="V9" s="605"/>
      <c r="W9" s="607"/>
      <c r="X9" s="423"/>
      <c r="Y9" s="603"/>
      <c r="Z9" s="587"/>
      <c r="AA9" s="605"/>
      <c r="AB9" s="607"/>
      <c r="AC9" s="423"/>
      <c r="AD9" s="603"/>
      <c r="AE9" s="605"/>
      <c r="AF9" s="607"/>
      <c r="AG9" s="423"/>
      <c r="AH9" s="603"/>
      <c r="AI9" s="587"/>
      <c r="AJ9" s="605"/>
      <c r="AK9" s="607"/>
      <c r="AL9" s="423"/>
      <c r="AM9" s="603"/>
      <c r="AN9" s="605"/>
      <c r="AO9" s="607"/>
      <c r="AP9" s="423"/>
      <c r="AQ9" s="603"/>
      <c r="AR9" s="605"/>
      <c r="AS9" s="607"/>
      <c r="AT9" s="423"/>
      <c r="AU9" s="603"/>
      <c r="AV9" s="587"/>
      <c r="AW9" s="605"/>
      <c r="AX9" s="607"/>
      <c r="AY9" s="423"/>
      <c r="AZ9" s="603"/>
      <c r="BA9" s="605"/>
      <c r="BB9" s="607"/>
      <c r="BC9" s="423"/>
      <c r="BD9" s="603"/>
      <c r="BE9" s="620"/>
      <c r="BF9" s="622"/>
      <c r="BG9" s="623"/>
      <c r="BH9" s="624"/>
      <c r="BI9" s="624"/>
      <c r="BJ9" s="624"/>
      <c r="BK9" s="624"/>
      <c r="BL9" s="624"/>
      <c r="BM9" s="624"/>
    </row>
    <row r="10" spans="1:66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6"/>
      <c r="AW10" s="85"/>
      <c r="AX10" s="86"/>
      <c r="AY10" s="86"/>
      <c r="AZ10" s="87"/>
      <c r="BA10" s="85"/>
      <c r="BB10" s="86"/>
      <c r="BC10" s="86"/>
      <c r="BD10" s="87"/>
      <c r="BE10" s="93"/>
      <c r="BF10" s="93"/>
      <c r="BG10" s="86"/>
      <c r="BH10" s="86"/>
      <c r="BI10" s="86"/>
      <c r="BJ10" s="86"/>
      <c r="BK10" s="86"/>
      <c r="BL10" s="86"/>
      <c r="BM10" s="86"/>
      <c r="BN10" s="363"/>
    </row>
    <row r="11" spans="1:66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341">
        <f>SUM(F11+J11+N11)-(E11+I11+M11)-Q11+(S11+W11)-(R11+V11)-Z11+(AB11+AF11)-(AA11+AE11)-AI11+(AK11+AO11+AS11)-(AJ11+AN11+AR11)</f>
        <v>0</v>
      </c>
      <c r="AW11" s="422"/>
      <c r="AX11" s="415"/>
      <c r="AY11" s="414"/>
      <c r="AZ11" s="421"/>
      <c r="BA11" s="422"/>
      <c r="BB11" s="415"/>
      <c r="BC11" s="414"/>
      <c r="BD11" s="421"/>
      <c r="BE11" s="101">
        <v>0</v>
      </c>
      <c r="BF11" s="98">
        <v>0</v>
      </c>
      <c r="BG11" s="420">
        <f>SUM(E11,I11,M11,R11,V11,AA11,AE11,AJ11,AN11,AR11,AW11,BA11)+Q11+Z11+AI11</f>
        <v>2000000</v>
      </c>
      <c r="BH11" s="413">
        <f t="shared" ref="BH11:BH29" si="0">BG11-BJ11</f>
        <v>0</v>
      </c>
      <c r="BI11" s="401">
        <f t="shared" ref="BI11:BI29" si="1">SUM(E11+I11+M11+R11+V11)+Q11+Z11</f>
        <v>2000000</v>
      </c>
      <c r="BJ11" s="401">
        <f t="shared" ref="BJ11:BJ29" si="2">SUM(F11,J11,N11,S11,W11,AB11,AF11,AK11,AO11,AS11,AX11,BB11,BE11)</f>
        <v>2000000</v>
      </c>
      <c r="BK11" s="401">
        <f t="shared" ref="BK11:BK29" si="3">BI11-BJ11</f>
        <v>0</v>
      </c>
      <c r="BL11" s="401">
        <f t="shared" ref="BL11:BL29" si="4">SUM(H11,L11,P11,U11,Y11,AD11,AH11,AM11,AQ11,AU11,AZ11,BD11,BF11)</f>
        <v>2000000</v>
      </c>
      <c r="BM11" s="401">
        <f t="shared" ref="BM11:BM29" si="5">SUM(BJ11-BL11)</f>
        <v>0</v>
      </c>
      <c r="BN11" s="363"/>
    </row>
    <row r="12" spans="1:66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341">
        <f t="shared" ref="AV12:AV37" si="6">SUM(F12+J12+N12)-(E12+I12+M12)-Q12+(S12+W12)-(R12+V12)-Z12+(AB12+AF12)-(AA12+AE12)-AI12+(AK12+AO12+AS12)-(AJ12+AN12+AR12)</f>
        <v>0</v>
      </c>
      <c r="AW12" s="422"/>
      <c r="AX12" s="415"/>
      <c r="AY12" s="414"/>
      <c r="AZ12" s="421"/>
      <c r="BA12" s="422"/>
      <c r="BB12" s="415"/>
      <c r="BC12" s="414"/>
      <c r="BD12" s="421"/>
      <c r="BE12" s="101">
        <v>0</v>
      </c>
      <c r="BF12" s="98">
        <v>0</v>
      </c>
      <c r="BG12" s="420">
        <f t="shared" ref="BG12:BG40" si="7">SUM(E12,I12,M12,R12,V12,AA12,AE12,AJ12,AN12,AR12,AW12,BA12)+Q12+Z12+AI12</f>
        <v>1909731</v>
      </c>
      <c r="BH12" s="413">
        <f t="shared" si="0"/>
        <v>0</v>
      </c>
      <c r="BI12" s="401">
        <f t="shared" si="1"/>
        <v>1909731</v>
      </c>
      <c r="BJ12" s="401">
        <f t="shared" si="2"/>
        <v>1909731</v>
      </c>
      <c r="BK12" s="401">
        <f t="shared" si="3"/>
        <v>0</v>
      </c>
      <c r="BL12" s="401">
        <f t="shared" si="4"/>
        <v>1909731</v>
      </c>
      <c r="BM12" s="401">
        <f t="shared" si="5"/>
        <v>0</v>
      </c>
      <c r="BN12" s="363"/>
    </row>
    <row r="13" spans="1:66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341">
        <f t="shared" si="6"/>
        <v>0</v>
      </c>
      <c r="AW13" s="422"/>
      <c r="AX13" s="415"/>
      <c r="AY13" s="414"/>
      <c r="AZ13" s="421"/>
      <c r="BA13" s="422"/>
      <c r="BB13" s="415"/>
      <c r="BC13" s="414"/>
      <c r="BD13" s="421"/>
      <c r="BE13" s="101">
        <v>0</v>
      </c>
      <c r="BF13" s="98">
        <v>0</v>
      </c>
      <c r="BG13" s="420">
        <f t="shared" si="7"/>
        <v>1248571</v>
      </c>
      <c r="BH13" s="413">
        <f t="shared" si="0"/>
        <v>0</v>
      </c>
      <c r="BI13" s="401">
        <f t="shared" si="1"/>
        <v>0</v>
      </c>
      <c r="BJ13" s="401">
        <f t="shared" si="2"/>
        <v>1248571</v>
      </c>
      <c r="BK13" s="401">
        <f t="shared" si="3"/>
        <v>-1248571</v>
      </c>
      <c r="BL13" s="401">
        <f t="shared" si="4"/>
        <v>1248571</v>
      </c>
      <c r="BM13" s="401">
        <f t="shared" si="5"/>
        <v>0</v>
      </c>
      <c r="BN13" s="363"/>
    </row>
    <row r="14" spans="1:66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341">
        <f t="shared" si="6"/>
        <v>0</v>
      </c>
      <c r="AW14" s="422"/>
      <c r="AX14" s="415"/>
      <c r="AY14" s="414"/>
      <c r="AZ14" s="421"/>
      <c r="BA14" s="422"/>
      <c r="BB14" s="415"/>
      <c r="BC14" s="414"/>
      <c r="BD14" s="421"/>
      <c r="BE14" s="101">
        <v>0</v>
      </c>
      <c r="BF14" s="98">
        <v>0</v>
      </c>
      <c r="BG14" s="420">
        <f t="shared" si="7"/>
        <v>1500000</v>
      </c>
      <c r="BH14" s="413">
        <f t="shared" si="0"/>
        <v>0</v>
      </c>
      <c r="BI14" s="401">
        <f t="shared" si="1"/>
        <v>0</v>
      </c>
      <c r="BJ14" s="401">
        <f t="shared" si="2"/>
        <v>1500000</v>
      </c>
      <c r="BK14" s="401">
        <f t="shared" si="3"/>
        <v>-1500000</v>
      </c>
      <c r="BL14" s="401">
        <f t="shared" si="4"/>
        <v>1500000</v>
      </c>
      <c r="BM14" s="401">
        <f t="shared" si="5"/>
        <v>0</v>
      </c>
      <c r="BN14" s="363"/>
    </row>
    <row r="15" spans="1:66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>
        <v>2081700</v>
      </c>
      <c r="AL15" s="414"/>
      <c r="AM15" s="421"/>
      <c r="AN15" s="422"/>
      <c r="AO15" s="415"/>
      <c r="AP15" s="414"/>
      <c r="AQ15" s="421">
        <v>2081700</v>
      </c>
      <c r="AR15" s="422"/>
      <c r="AS15" s="415"/>
      <c r="AT15" s="414"/>
      <c r="AU15" s="421"/>
      <c r="AV15" s="341">
        <f t="shared" si="6"/>
        <v>0</v>
      </c>
      <c r="AW15" s="422"/>
      <c r="AX15" s="415"/>
      <c r="AY15" s="414"/>
      <c r="AZ15" s="421"/>
      <c r="BA15" s="422"/>
      <c r="BB15" s="415"/>
      <c r="BC15" s="414"/>
      <c r="BD15" s="421"/>
      <c r="BE15" s="101">
        <v>0</v>
      </c>
      <c r="BF15" s="98">
        <v>0</v>
      </c>
      <c r="BG15" s="420">
        <f t="shared" si="7"/>
        <v>2081700</v>
      </c>
      <c r="BH15" s="413">
        <f t="shared" si="0"/>
        <v>0</v>
      </c>
      <c r="BI15" s="401">
        <f t="shared" si="1"/>
        <v>0</v>
      </c>
      <c r="BJ15" s="401">
        <f t="shared" si="2"/>
        <v>2081700</v>
      </c>
      <c r="BK15" s="401">
        <f t="shared" si="3"/>
        <v>-2081700</v>
      </c>
      <c r="BL15" s="401">
        <f t="shared" si="4"/>
        <v>2081700</v>
      </c>
      <c r="BM15" s="401">
        <f t="shared" si="5"/>
        <v>0</v>
      </c>
      <c r="BN15" s="363"/>
    </row>
    <row r="16" spans="1:66" x14ac:dyDescent="0.2">
      <c r="A16" s="251">
        <v>666</v>
      </c>
      <c r="B16" s="252" t="s">
        <v>191</v>
      </c>
      <c r="C16" s="253" t="s">
        <v>91</v>
      </c>
      <c r="D16" s="254">
        <v>1691000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341">
        <f t="shared" si="6"/>
        <v>0</v>
      </c>
      <c r="AW16" s="422"/>
      <c r="AX16" s="415"/>
      <c r="AY16" s="414"/>
      <c r="AZ16" s="421"/>
      <c r="BA16" s="422"/>
      <c r="BB16" s="415"/>
      <c r="BC16" s="414"/>
      <c r="BD16" s="421"/>
      <c r="BE16" s="101">
        <v>0</v>
      </c>
      <c r="BF16" s="98">
        <v>0</v>
      </c>
      <c r="BG16" s="420">
        <f t="shared" si="7"/>
        <v>1691000</v>
      </c>
      <c r="BH16" s="413">
        <f t="shared" si="0"/>
        <v>0</v>
      </c>
      <c r="BI16" s="401">
        <f t="shared" si="1"/>
        <v>0</v>
      </c>
      <c r="BJ16" s="401">
        <f t="shared" si="2"/>
        <v>1691000</v>
      </c>
      <c r="BK16" s="401">
        <f t="shared" si="3"/>
        <v>-1691000</v>
      </c>
      <c r="BL16" s="401">
        <f t="shared" si="4"/>
        <v>1691000</v>
      </c>
      <c r="BM16" s="401">
        <f t="shared" si="5"/>
        <v>0</v>
      </c>
      <c r="BN16" s="363"/>
    </row>
    <row r="17" spans="1:66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341">
        <f t="shared" si="6"/>
        <v>0</v>
      </c>
      <c r="AW17" s="422"/>
      <c r="AX17" s="415"/>
      <c r="AY17" s="414"/>
      <c r="AZ17" s="421"/>
      <c r="BA17" s="422"/>
      <c r="BB17" s="415"/>
      <c r="BC17" s="414"/>
      <c r="BD17" s="421"/>
      <c r="BE17" s="101">
        <v>0</v>
      </c>
      <c r="BF17" s="98">
        <v>0</v>
      </c>
      <c r="BG17" s="420">
        <f t="shared" si="7"/>
        <v>0</v>
      </c>
      <c r="BH17" s="413">
        <f t="shared" si="0"/>
        <v>0</v>
      </c>
      <c r="BI17" s="401">
        <f t="shared" si="1"/>
        <v>0</v>
      </c>
      <c r="BJ17" s="401">
        <f t="shared" si="2"/>
        <v>0</v>
      </c>
      <c r="BK17" s="401">
        <f t="shared" si="3"/>
        <v>0</v>
      </c>
      <c r="BL17" s="401">
        <f t="shared" si="4"/>
        <v>0</v>
      </c>
      <c r="BM17" s="401">
        <f t="shared" si="5"/>
        <v>0</v>
      </c>
      <c r="BN17" s="363"/>
    </row>
    <row r="18" spans="1:66" x14ac:dyDescent="0.2">
      <c r="A18" s="251">
        <v>669</v>
      </c>
      <c r="B18" s="252" t="s">
        <v>177</v>
      </c>
      <c r="C18" s="253" t="s">
        <v>91</v>
      </c>
      <c r="D18" s="254">
        <v>2063167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341">
        <f t="shared" si="6"/>
        <v>0</v>
      </c>
      <c r="AW18" s="422">
        <v>2063167</v>
      </c>
      <c r="AX18" s="415"/>
      <c r="AY18" s="414"/>
      <c r="AZ18" s="421"/>
      <c r="BA18" s="422"/>
      <c r="BB18" s="415"/>
      <c r="BC18" s="414"/>
      <c r="BD18" s="421"/>
      <c r="BE18" s="101">
        <v>0</v>
      </c>
      <c r="BF18" s="98">
        <v>0</v>
      </c>
      <c r="BG18" s="420">
        <f t="shared" si="7"/>
        <v>2063167</v>
      </c>
      <c r="BH18" s="413">
        <f t="shared" si="0"/>
        <v>2063167</v>
      </c>
      <c r="BI18" s="401">
        <f t="shared" si="1"/>
        <v>0</v>
      </c>
      <c r="BJ18" s="401">
        <f t="shared" si="2"/>
        <v>0</v>
      </c>
      <c r="BK18" s="401">
        <f t="shared" si="3"/>
        <v>0</v>
      </c>
      <c r="BL18" s="401">
        <f t="shared" si="4"/>
        <v>0</v>
      </c>
      <c r="BM18" s="401">
        <f t="shared" si="5"/>
        <v>0</v>
      </c>
      <c r="BN18" s="363"/>
    </row>
    <row r="19" spans="1:66" x14ac:dyDescent="0.2">
      <c r="A19" s="251">
        <v>670</v>
      </c>
      <c r="B19" s="252" t="s">
        <v>176</v>
      </c>
      <c r="C19" s="253" t="s">
        <v>91</v>
      </c>
      <c r="D19" s="254"/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341">
        <f t="shared" si="6"/>
        <v>0</v>
      </c>
      <c r="AW19" s="422"/>
      <c r="AX19" s="415"/>
      <c r="AY19" s="414"/>
      <c r="AZ19" s="421"/>
      <c r="BA19" s="422"/>
      <c r="BB19" s="415"/>
      <c r="BC19" s="414"/>
      <c r="BD19" s="421"/>
      <c r="BE19" s="101">
        <v>0</v>
      </c>
      <c r="BF19" s="98">
        <v>0</v>
      </c>
      <c r="BG19" s="420">
        <f t="shared" si="7"/>
        <v>0</v>
      </c>
      <c r="BH19" s="413">
        <f t="shared" si="0"/>
        <v>0</v>
      </c>
      <c r="BI19" s="401">
        <f t="shared" si="1"/>
        <v>0</v>
      </c>
      <c r="BJ19" s="401">
        <f t="shared" si="2"/>
        <v>0</v>
      </c>
      <c r="BK19" s="401">
        <f t="shared" si="3"/>
        <v>0</v>
      </c>
      <c r="BL19" s="401">
        <f t="shared" si="4"/>
        <v>0</v>
      </c>
      <c r="BM19" s="401">
        <f t="shared" si="5"/>
        <v>0</v>
      </c>
      <c r="BN19" s="363"/>
    </row>
    <row r="20" spans="1:66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341">
        <f t="shared" si="6"/>
        <v>0</v>
      </c>
      <c r="AW20" s="422"/>
      <c r="AX20" s="415"/>
      <c r="AY20" s="414"/>
      <c r="AZ20" s="421"/>
      <c r="BA20" s="422"/>
      <c r="BB20" s="415"/>
      <c r="BC20" s="414"/>
      <c r="BD20" s="421"/>
      <c r="BE20" s="101">
        <v>0</v>
      </c>
      <c r="BF20" s="98">
        <v>0</v>
      </c>
      <c r="BG20" s="420">
        <f t="shared" si="7"/>
        <v>0</v>
      </c>
      <c r="BH20" s="413">
        <f t="shared" si="0"/>
        <v>0</v>
      </c>
      <c r="BI20" s="401">
        <f t="shared" si="1"/>
        <v>0</v>
      </c>
      <c r="BJ20" s="401">
        <f t="shared" si="2"/>
        <v>0</v>
      </c>
      <c r="BK20" s="401">
        <f t="shared" si="3"/>
        <v>0</v>
      </c>
      <c r="BL20" s="401">
        <f t="shared" si="4"/>
        <v>0</v>
      </c>
      <c r="BM20" s="401">
        <f t="shared" si="5"/>
        <v>0</v>
      </c>
      <c r="BN20" s="363"/>
    </row>
    <row r="21" spans="1:66" x14ac:dyDescent="0.2">
      <c r="A21" s="251">
        <v>672</v>
      </c>
      <c r="B21" s="252" t="s">
        <v>174</v>
      </c>
      <c r="C21" s="253" t="s">
        <v>91</v>
      </c>
      <c r="D21" s="254">
        <v>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341">
        <f t="shared" si="6"/>
        <v>0</v>
      </c>
      <c r="AW21" s="422"/>
      <c r="AX21" s="415"/>
      <c r="AY21" s="414"/>
      <c r="AZ21" s="421"/>
      <c r="BA21" s="422"/>
      <c r="BB21" s="415"/>
      <c r="BC21" s="414"/>
      <c r="BD21" s="421"/>
      <c r="BE21" s="101">
        <v>0</v>
      </c>
      <c r="BF21" s="98">
        <v>0</v>
      </c>
      <c r="BG21" s="420">
        <f t="shared" si="7"/>
        <v>0</v>
      </c>
      <c r="BH21" s="413">
        <f t="shared" si="0"/>
        <v>0</v>
      </c>
      <c r="BI21" s="401">
        <f t="shared" si="1"/>
        <v>0</v>
      </c>
      <c r="BJ21" s="401">
        <f t="shared" si="2"/>
        <v>0</v>
      </c>
      <c r="BK21" s="401">
        <f t="shared" si="3"/>
        <v>0</v>
      </c>
      <c r="BL21" s="401">
        <f t="shared" si="4"/>
        <v>0</v>
      </c>
      <c r="BM21" s="401">
        <f t="shared" si="5"/>
        <v>0</v>
      </c>
      <c r="BN21" s="363"/>
    </row>
    <row r="22" spans="1:66" x14ac:dyDescent="0.2">
      <c r="A22" s="251">
        <v>673</v>
      </c>
      <c r="B22" s="252" t="s">
        <v>173</v>
      </c>
      <c r="C22" s="253" t="s">
        <v>91</v>
      </c>
      <c r="D22" s="254">
        <v>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341">
        <f t="shared" si="6"/>
        <v>0</v>
      </c>
      <c r="AW22" s="422"/>
      <c r="AX22" s="415"/>
      <c r="AY22" s="414"/>
      <c r="AZ22" s="421"/>
      <c r="BA22" s="422"/>
      <c r="BB22" s="415"/>
      <c r="BC22" s="414"/>
      <c r="BD22" s="421"/>
      <c r="BE22" s="101">
        <v>0</v>
      </c>
      <c r="BF22" s="98">
        <v>0</v>
      </c>
      <c r="BG22" s="420">
        <f t="shared" si="7"/>
        <v>0</v>
      </c>
      <c r="BH22" s="413">
        <f t="shared" si="0"/>
        <v>0</v>
      </c>
      <c r="BI22" s="401">
        <f t="shared" si="1"/>
        <v>0</v>
      </c>
      <c r="BJ22" s="401">
        <f t="shared" si="2"/>
        <v>0</v>
      </c>
      <c r="BK22" s="401">
        <f t="shared" si="3"/>
        <v>0</v>
      </c>
      <c r="BL22" s="401">
        <f t="shared" si="4"/>
        <v>0</v>
      </c>
      <c r="BM22" s="401">
        <f t="shared" si="5"/>
        <v>0</v>
      </c>
      <c r="BN22" s="363"/>
    </row>
    <row r="23" spans="1:66" x14ac:dyDescent="0.2">
      <c r="A23" s="251">
        <v>674</v>
      </c>
      <c r="B23" s="252" t="s">
        <v>172</v>
      </c>
      <c r="C23" s="253" t="s">
        <v>91</v>
      </c>
      <c r="D23" s="254">
        <v>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341">
        <f t="shared" si="6"/>
        <v>0</v>
      </c>
      <c r="AW23" s="422"/>
      <c r="AX23" s="415"/>
      <c r="AY23" s="414"/>
      <c r="AZ23" s="421"/>
      <c r="BA23" s="422"/>
      <c r="BB23" s="415"/>
      <c r="BC23" s="414"/>
      <c r="BD23" s="421"/>
      <c r="BE23" s="101">
        <v>0</v>
      </c>
      <c r="BF23" s="98">
        <v>0</v>
      </c>
      <c r="BG23" s="420">
        <f t="shared" si="7"/>
        <v>0</v>
      </c>
      <c r="BH23" s="413">
        <f t="shared" si="0"/>
        <v>0</v>
      </c>
      <c r="BI23" s="401">
        <f t="shared" si="1"/>
        <v>0</v>
      </c>
      <c r="BJ23" s="401">
        <f t="shared" si="2"/>
        <v>0</v>
      </c>
      <c r="BK23" s="401">
        <f t="shared" si="3"/>
        <v>0</v>
      </c>
      <c r="BL23" s="401">
        <f t="shared" si="4"/>
        <v>0</v>
      </c>
      <c r="BM23" s="401">
        <f t="shared" si="5"/>
        <v>0</v>
      </c>
      <c r="BN23" s="363"/>
    </row>
    <row r="24" spans="1:66" x14ac:dyDescent="0.2">
      <c r="A24" s="251">
        <v>675</v>
      </c>
      <c r="B24" s="252" t="s">
        <v>171</v>
      </c>
      <c r="C24" s="253" t="s">
        <v>91</v>
      </c>
      <c r="D24" s="254">
        <v>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341">
        <f t="shared" si="6"/>
        <v>0</v>
      </c>
      <c r="AW24" s="422"/>
      <c r="AX24" s="415"/>
      <c r="AY24" s="414"/>
      <c r="AZ24" s="421"/>
      <c r="BA24" s="422"/>
      <c r="BB24" s="415"/>
      <c r="BC24" s="414"/>
      <c r="BD24" s="421"/>
      <c r="BE24" s="101">
        <v>0</v>
      </c>
      <c r="BF24" s="98">
        <v>0</v>
      </c>
      <c r="BG24" s="420">
        <f t="shared" si="7"/>
        <v>0</v>
      </c>
      <c r="BH24" s="413">
        <f t="shared" si="0"/>
        <v>0</v>
      </c>
      <c r="BI24" s="401">
        <f t="shared" si="1"/>
        <v>0</v>
      </c>
      <c r="BJ24" s="401">
        <f t="shared" si="2"/>
        <v>0</v>
      </c>
      <c r="BK24" s="401">
        <f t="shared" si="3"/>
        <v>0</v>
      </c>
      <c r="BL24" s="401">
        <f t="shared" si="4"/>
        <v>0</v>
      </c>
      <c r="BM24" s="401">
        <f t="shared" si="5"/>
        <v>0</v>
      </c>
      <c r="BN24" s="363"/>
    </row>
    <row r="25" spans="1:66" x14ac:dyDescent="0.2">
      <c r="A25" s="251">
        <v>676</v>
      </c>
      <c r="B25" s="252" t="s">
        <v>170</v>
      </c>
      <c r="C25" s="253" t="s">
        <v>91</v>
      </c>
      <c r="D25" s="254">
        <v>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341">
        <f t="shared" si="6"/>
        <v>0</v>
      </c>
      <c r="AW25" s="422"/>
      <c r="AX25" s="415"/>
      <c r="AY25" s="414"/>
      <c r="AZ25" s="421"/>
      <c r="BA25" s="422"/>
      <c r="BB25" s="415"/>
      <c r="BC25" s="414"/>
      <c r="BD25" s="421"/>
      <c r="BE25" s="101">
        <v>0</v>
      </c>
      <c r="BF25" s="98">
        <v>0</v>
      </c>
      <c r="BG25" s="420">
        <f t="shared" si="7"/>
        <v>0</v>
      </c>
      <c r="BH25" s="413">
        <f t="shared" si="0"/>
        <v>0</v>
      </c>
      <c r="BI25" s="401">
        <f t="shared" si="1"/>
        <v>0</v>
      </c>
      <c r="BJ25" s="401">
        <f t="shared" si="2"/>
        <v>0</v>
      </c>
      <c r="BK25" s="401">
        <f t="shared" si="3"/>
        <v>0</v>
      </c>
      <c r="BL25" s="401">
        <f t="shared" si="4"/>
        <v>0</v>
      </c>
      <c r="BM25" s="401">
        <f t="shared" si="5"/>
        <v>0</v>
      </c>
      <c r="BN25" s="363"/>
    </row>
    <row r="26" spans="1:66" x14ac:dyDescent="0.2">
      <c r="A26" s="251">
        <v>677</v>
      </c>
      <c r="B26" s="252" t="s">
        <v>169</v>
      </c>
      <c r="C26" s="253" t="s">
        <v>91</v>
      </c>
      <c r="D26" s="254">
        <v>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341">
        <f t="shared" si="6"/>
        <v>0</v>
      </c>
      <c r="AW26" s="422"/>
      <c r="AX26" s="415"/>
      <c r="AY26" s="414"/>
      <c r="AZ26" s="421"/>
      <c r="BA26" s="422"/>
      <c r="BB26" s="415"/>
      <c r="BC26" s="414"/>
      <c r="BD26" s="421"/>
      <c r="BE26" s="101">
        <v>0</v>
      </c>
      <c r="BF26" s="98">
        <v>0</v>
      </c>
      <c r="BG26" s="420">
        <f t="shared" si="7"/>
        <v>0</v>
      </c>
      <c r="BH26" s="413">
        <f t="shared" si="0"/>
        <v>0</v>
      </c>
      <c r="BI26" s="401">
        <f t="shared" si="1"/>
        <v>0</v>
      </c>
      <c r="BJ26" s="401">
        <f t="shared" si="2"/>
        <v>0</v>
      </c>
      <c r="BK26" s="401">
        <f t="shared" si="3"/>
        <v>0</v>
      </c>
      <c r="BL26" s="401">
        <f t="shared" si="4"/>
        <v>0</v>
      </c>
      <c r="BM26" s="401">
        <f t="shared" si="5"/>
        <v>0</v>
      </c>
      <c r="BN26" s="363"/>
    </row>
    <row r="27" spans="1:66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341">
        <f t="shared" si="6"/>
        <v>0</v>
      </c>
      <c r="AW27" s="422"/>
      <c r="AX27" s="415"/>
      <c r="AY27" s="414"/>
      <c r="AZ27" s="421"/>
      <c r="BA27" s="422"/>
      <c r="BB27" s="415"/>
      <c r="BC27" s="414"/>
      <c r="BD27" s="421"/>
      <c r="BE27" s="101">
        <v>0</v>
      </c>
      <c r="BF27" s="98">
        <v>0</v>
      </c>
      <c r="BG27" s="420">
        <f t="shared" si="7"/>
        <v>1909731</v>
      </c>
      <c r="BH27" s="413">
        <f t="shared" si="0"/>
        <v>0</v>
      </c>
      <c r="BI27" s="401">
        <f t="shared" si="1"/>
        <v>1909731</v>
      </c>
      <c r="BJ27" s="401">
        <f t="shared" si="2"/>
        <v>1909731</v>
      </c>
      <c r="BK27" s="401">
        <f t="shared" si="3"/>
        <v>0</v>
      </c>
      <c r="BL27" s="401">
        <f t="shared" si="4"/>
        <v>1909731</v>
      </c>
      <c r="BM27" s="401">
        <f t="shared" si="5"/>
        <v>0</v>
      </c>
      <c r="BN27" s="363"/>
    </row>
    <row r="28" spans="1:66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341">
        <f t="shared" si="6"/>
        <v>0</v>
      </c>
      <c r="AW28" s="422"/>
      <c r="AX28" s="415"/>
      <c r="AY28" s="414"/>
      <c r="AZ28" s="421"/>
      <c r="BA28" s="422"/>
      <c r="BB28" s="415"/>
      <c r="BC28" s="414"/>
      <c r="BD28" s="421"/>
      <c r="BE28" s="101">
        <v>0</v>
      </c>
      <c r="BF28" s="98">
        <v>0</v>
      </c>
      <c r="BG28" s="420">
        <f t="shared" si="7"/>
        <v>994983</v>
      </c>
      <c r="BH28" s="413">
        <f t="shared" si="0"/>
        <v>0</v>
      </c>
      <c r="BI28" s="401">
        <f t="shared" si="1"/>
        <v>994983</v>
      </c>
      <c r="BJ28" s="401">
        <f t="shared" si="2"/>
        <v>994983</v>
      </c>
      <c r="BK28" s="401">
        <f t="shared" si="3"/>
        <v>0</v>
      </c>
      <c r="BL28" s="401">
        <f t="shared" si="4"/>
        <v>994983</v>
      </c>
      <c r="BM28" s="401">
        <f t="shared" si="5"/>
        <v>0</v>
      </c>
      <c r="BN28" s="363"/>
    </row>
    <row r="29" spans="1:66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341">
        <f t="shared" si="6"/>
        <v>0</v>
      </c>
      <c r="AW29" s="422">
        <v>1800000</v>
      </c>
      <c r="AX29" s="415"/>
      <c r="AY29" s="414"/>
      <c r="AZ29" s="421"/>
      <c r="BA29" s="422"/>
      <c r="BB29" s="415"/>
      <c r="BC29" s="414"/>
      <c r="BD29" s="421"/>
      <c r="BE29" s="101">
        <v>0</v>
      </c>
      <c r="BF29" s="98">
        <v>0</v>
      </c>
      <c r="BG29" s="420">
        <f t="shared" si="7"/>
        <v>1800000</v>
      </c>
      <c r="BH29" s="413">
        <f t="shared" si="0"/>
        <v>1800000</v>
      </c>
      <c r="BI29" s="401">
        <f t="shared" si="1"/>
        <v>0</v>
      </c>
      <c r="BJ29" s="401">
        <f t="shared" si="2"/>
        <v>0</v>
      </c>
      <c r="BK29" s="401">
        <f t="shared" si="3"/>
        <v>0</v>
      </c>
      <c r="BL29" s="401">
        <f t="shared" si="4"/>
        <v>0</v>
      </c>
      <c r="BM29" s="401">
        <f t="shared" si="5"/>
        <v>0</v>
      </c>
      <c r="BN29" s="363"/>
    </row>
    <row r="30" spans="1:66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6"/>
      <c r="AW30" s="85"/>
      <c r="AX30" s="86"/>
      <c r="AY30" s="86"/>
      <c r="AZ30" s="87"/>
      <c r="BA30" s="85"/>
      <c r="BB30" s="86"/>
      <c r="BC30" s="86"/>
      <c r="BD30" s="87"/>
      <c r="BE30" s="93"/>
      <c r="BF30" s="93"/>
      <c r="BG30" s="86"/>
      <c r="BH30" s="86"/>
      <c r="BI30" s="86"/>
      <c r="BJ30" s="86"/>
      <c r="BK30" s="86"/>
      <c r="BL30" s="86"/>
      <c r="BM30" s="86"/>
      <c r="BN30" s="363"/>
    </row>
    <row r="31" spans="1:66" x14ac:dyDescent="0.2">
      <c r="A31" s="419" t="s">
        <v>92</v>
      </c>
      <c r="B31" s="252" t="s">
        <v>93</v>
      </c>
      <c r="C31" s="418" t="s">
        <v>92</v>
      </c>
      <c r="D31" s="417">
        <f t="shared" ref="D31:D37" si="8">SUM(E31+I31+M31+R31+V31+AA31+AE31+AJ31+AN31+AR31+AW31+BA31)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>
        <v>34641</v>
      </c>
      <c r="AL31" s="414"/>
      <c r="AM31" s="404">
        <v>34641</v>
      </c>
      <c r="AN31" s="416">
        <v>34641</v>
      </c>
      <c r="AO31" s="415">
        <v>34641</v>
      </c>
      <c r="AP31" s="414"/>
      <c r="AQ31" s="404">
        <v>34641</v>
      </c>
      <c r="AR31" s="416">
        <v>34641</v>
      </c>
      <c r="AS31" s="415">
        <v>34641</v>
      </c>
      <c r="AT31" s="414"/>
      <c r="AU31" s="404">
        <v>34641</v>
      </c>
      <c r="AV31" s="341">
        <f>SUM(F31+J31+N31)-(E31+I31+M31)-Q31+(S31+W31)-(R31+V31)-Z31+(AB31+AF31)-(AA31+AE31)-AI31+(AK31+AO31+AS31)-(AJ31+AN31+AR31)</f>
        <v>0</v>
      </c>
      <c r="AW31" s="416">
        <v>34641</v>
      </c>
      <c r="AX31" s="415"/>
      <c r="AY31" s="414"/>
      <c r="AZ31" s="404"/>
      <c r="BA31" s="416">
        <v>34641</v>
      </c>
      <c r="BB31" s="415"/>
      <c r="BC31" s="414"/>
      <c r="BD31" s="404"/>
      <c r="BE31" s="101">
        <v>0</v>
      </c>
      <c r="BF31" s="99">
        <v>0</v>
      </c>
      <c r="BG31" s="403">
        <f t="shared" si="7"/>
        <v>415692</v>
      </c>
      <c r="BH31" s="413">
        <f t="shared" ref="BH31:BH40" si="9">BG31-BJ31</f>
        <v>69282</v>
      </c>
      <c r="BI31" s="401">
        <f t="shared" ref="BI31:BI37" si="10">SUM(E31+I31+M31+R31+V31)+Q31+Z31</f>
        <v>173205</v>
      </c>
      <c r="BJ31" s="401">
        <f>SUM(F31,J31,N31,S31,W31,AB31,AF31,AK31,AO31,AS31,AX31,BB31,BE31)</f>
        <v>346410</v>
      </c>
      <c r="BK31" s="412">
        <f t="shared" ref="BK31:BK40" si="11">BI31-BJ31</f>
        <v>-173205</v>
      </c>
      <c r="BL31" s="401">
        <f t="shared" ref="BL31:BL40" si="12">SUM(H31,L31,P31,U31,Y31,AD31,AH31,AM31,AQ31,AU31,AZ31,BD31,BF31)</f>
        <v>346410</v>
      </c>
      <c r="BM31" s="412">
        <f t="shared" ref="BM31:BM40" si="13">SUM(BJ31-BL31)</f>
        <v>0</v>
      </c>
      <c r="BN31" s="363"/>
    </row>
    <row r="32" spans="1:66" x14ac:dyDescent="0.2">
      <c r="A32" s="419" t="s">
        <v>92</v>
      </c>
      <c r="B32" s="252" t="s">
        <v>94</v>
      </c>
      <c r="C32" s="418" t="s">
        <v>92</v>
      </c>
      <c r="D32" s="417">
        <f t="shared" si="8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>
        <v>590800</v>
      </c>
      <c r="AL32" s="414"/>
      <c r="AM32" s="404"/>
      <c r="AN32" s="416">
        <v>590800</v>
      </c>
      <c r="AO32" s="415">
        <v>590800</v>
      </c>
      <c r="AP32" s="414"/>
      <c r="AQ32" s="404">
        <v>1181600</v>
      </c>
      <c r="AR32" s="416">
        <v>590800</v>
      </c>
      <c r="AS32" s="415">
        <v>590800</v>
      </c>
      <c r="AT32" s="414"/>
      <c r="AU32" s="404">
        <v>590800</v>
      </c>
      <c r="AV32" s="341">
        <f>SUM(F32+J32+N32)-(E32+I32+M32)-Q32+(S32+W32)-(R32+V32)-Z32+(AB32+AF32)-(AA32+AE32)-AI32+(AK32+AO32+AS32)-(AJ32+AN32+AR32)</f>
        <v>0</v>
      </c>
      <c r="AW32" s="416">
        <v>590800</v>
      </c>
      <c r="AX32" s="415"/>
      <c r="AY32" s="414"/>
      <c r="AZ32" s="404"/>
      <c r="BA32" s="416">
        <v>590800</v>
      </c>
      <c r="BB32" s="415"/>
      <c r="BC32" s="414"/>
      <c r="BD32" s="404"/>
      <c r="BE32" s="101">
        <v>0</v>
      </c>
      <c r="BF32" s="99">
        <v>0</v>
      </c>
      <c r="BG32" s="403">
        <f t="shared" si="7"/>
        <v>7071100</v>
      </c>
      <c r="BH32" s="413">
        <f t="shared" si="9"/>
        <v>1181600</v>
      </c>
      <c r="BI32" s="401">
        <f t="shared" si="10"/>
        <v>2935500</v>
      </c>
      <c r="BJ32" s="401">
        <f>SUM(F32,J32,N32,S32,W32,AB32,AF32,AK32,AO32,AS32,AX32,BB32,BE32)</f>
        <v>5889500</v>
      </c>
      <c r="BK32" s="412">
        <f t="shared" si="11"/>
        <v>-2954000</v>
      </c>
      <c r="BL32" s="401">
        <f t="shared" si="12"/>
        <v>5889500</v>
      </c>
      <c r="BM32" s="412">
        <f t="shared" si="13"/>
        <v>0</v>
      </c>
      <c r="BN32" s="363"/>
    </row>
    <row r="33" spans="1:66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8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>
        <v>120085</v>
      </c>
      <c r="AL33" s="414"/>
      <c r="AM33" s="404"/>
      <c r="AN33" s="416">
        <v>120085</v>
      </c>
      <c r="AO33" s="415">
        <v>120085</v>
      </c>
      <c r="AP33" s="414"/>
      <c r="AQ33" s="404">
        <v>240170</v>
      </c>
      <c r="AR33" s="416">
        <v>120085</v>
      </c>
      <c r="AS33" s="415">
        <v>120085</v>
      </c>
      <c r="AT33" s="414"/>
      <c r="AU33" s="404">
        <v>120085</v>
      </c>
      <c r="AV33" s="341">
        <f>SUM(F33+J33+N33)-(E33+I33+M33)-Q33+(S33+W33)-(R33+V33)-Z33+(AB33+AF33)-(AA33+AE33)-AI33+(AK33+AO33+AS33)-(AJ33+AN33+AR33)</f>
        <v>0</v>
      </c>
      <c r="AW33" s="416">
        <v>120085</v>
      </c>
      <c r="AX33" s="415"/>
      <c r="AY33" s="414"/>
      <c r="AZ33" s="404"/>
      <c r="BA33" s="416">
        <v>120085</v>
      </c>
      <c r="BB33" s="415"/>
      <c r="BC33" s="414"/>
      <c r="BD33" s="404"/>
      <c r="BE33" s="101">
        <v>0</v>
      </c>
      <c r="BF33" s="99">
        <v>0</v>
      </c>
      <c r="BG33" s="403">
        <f t="shared" si="7"/>
        <v>1445605</v>
      </c>
      <c r="BH33" s="413">
        <f t="shared" si="9"/>
        <v>240170</v>
      </c>
      <c r="BI33" s="401">
        <f t="shared" si="10"/>
        <v>605010</v>
      </c>
      <c r="BJ33" s="401">
        <f t="shared" ref="BJ33:BJ40" si="14">SUM(F33,J33,N33,S33,W33,AB33,AF33,AK33,AO33,AS33,AX33,BB33,BE33)</f>
        <v>1205435</v>
      </c>
      <c r="BK33" s="412">
        <f t="shared" si="11"/>
        <v>-600425</v>
      </c>
      <c r="BL33" s="401">
        <f t="shared" si="12"/>
        <v>1205435</v>
      </c>
      <c r="BM33" s="412">
        <f t="shared" si="13"/>
        <v>0</v>
      </c>
      <c r="BN33" s="363"/>
    </row>
    <row r="34" spans="1:66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8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>
        <v>196129</v>
      </c>
      <c r="AT34" s="414"/>
      <c r="AU34" s="404">
        <v>196129</v>
      </c>
      <c r="AV34" s="341">
        <f>SUM(F34+J34+N34)-(E34+I34+M34)-Q34+(S34+W34)-(R34+V34)-Z34+(AB34+AF34)-(AA34+AE34)-AI34+(AK34+AO34+AS34)-(AJ34+AN34+AR34)</f>
        <v>0</v>
      </c>
      <c r="AW34" s="416">
        <v>0</v>
      </c>
      <c r="AX34" s="415"/>
      <c r="AY34" s="414"/>
      <c r="AZ34" s="404"/>
      <c r="BA34" s="416">
        <v>0</v>
      </c>
      <c r="BB34" s="415"/>
      <c r="BC34" s="414"/>
      <c r="BD34" s="404"/>
      <c r="BE34" s="101">
        <v>0</v>
      </c>
      <c r="BF34" s="99">
        <v>0</v>
      </c>
      <c r="BG34" s="403">
        <f t="shared" si="7"/>
        <v>784513</v>
      </c>
      <c r="BH34" s="413">
        <f t="shared" si="9"/>
        <v>0</v>
      </c>
      <c r="BI34" s="401">
        <f t="shared" si="10"/>
        <v>392256</v>
      </c>
      <c r="BJ34" s="401">
        <f t="shared" si="14"/>
        <v>784513</v>
      </c>
      <c r="BK34" s="412">
        <f t="shared" si="11"/>
        <v>-392257</v>
      </c>
      <c r="BL34" s="401">
        <f t="shared" si="12"/>
        <v>784513</v>
      </c>
      <c r="BM34" s="412">
        <f t="shared" si="13"/>
        <v>0</v>
      </c>
      <c r="BN34" s="363"/>
    </row>
    <row r="35" spans="1:66" x14ac:dyDescent="0.2">
      <c r="A35" s="419" t="s">
        <v>92</v>
      </c>
      <c r="B35" s="252" t="s">
        <v>96</v>
      </c>
      <c r="C35" s="418" t="s">
        <v>92</v>
      </c>
      <c r="D35" s="417">
        <f t="shared" si="8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341">
        <f t="shared" si="6"/>
        <v>0</v>
      </c>
      <c r="AW35" s="416">
        <v>0</v>
      </c>
      <c r="AX35" s="415"/>
      <c r="AY35" s="414"/>
      <c r="AZ35" s="404"/>
      <c r="BA35" s="416">
        <v>0</v>
      </c>
      <c r="BB35" s="415"/>
      <c r="BC35" s="414"/>
      <c r="BD35" s="404"/>
      <c r="BE35" s="101">
        <v>0</v>
      </c>
      <c r="BF35" s="99">
        <v>0</v>
      </c>
      <c r="BG35" s="403">
        <f t="shared" si="7"/>
        <v>47772</v>
      </c>
      <c r="BH35" s="413">
        <f t="shared" si="9"/>
        <v>0</v>
      </c>
      <c r="BI35" s="401">
        <f t="shared" si="10"/>
        <v>47772</v>
      </c>
      <c r="BJ35" s="401">
        <f t="shared" si="14"/>
        <v>47772</v>
      </c>
      <c r="BK35" s="412">
        <f t="shared" si="11"/>
        <v>0</v>
      </c>
      <c r="BL35" s="401">
        <f t="shared" si="12"/>
        <v>47772</v>
      </c>
      <c r="BM35" s="412">
        <f t="shared" si="13"/>
        <v>0</v>
      </c>
      <c r="BN35" s="363"/>
    </row>
    <row r="36" spans="1:66" x14ac:dyDescent="0.2">
      <c r="A36" s="419" t="s">
        <v>92</v>
      </c>
      <c r="B36" s="252" t="s">
        <v>97</v>
      </c>
      <c r="C36" s="418" t="s">
        <v>92</v>
      </c>
      <c r="D36" s="417">
        <f t="shared" si="8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341">
        <f t="shared" si="6"/>
        <v>0</v>
      </c>
      <c r="AW36" s="416">
        <v>0</v>
      </c>
      <c r="AX36" s="415"/>
      <c r="AY36" s="414"/>
      <c r="AZ36" s="404"/>
      <c r="BA36" s="416">
        <v>0</v>
      </c>
      <c r="BB36" s="415"/>
      <c r="BC36" s="414"/>
      <c r="BD36" s="404"/>
      <c r="BE36" s="101">
        <v>0</v>
      </c>
      <c r="BF36" s="99">
        <v>0</v>
      </c>
      <c r="BG36" s="403">
        <f t="shared" si="7"/>
        <v>571800</v>
      </c>
      <c r="BH36" s="413">
        <f t="shared" si="9"/>
        <v>0</v>
      </c>
      <c r="BI36" s="401">
        <f t="shared" si="10"/>
        <v>571800</v>
      </c>
      <c r="BJ36" s="401">
        <f t="shared" si="14"/>
        <v>571800</v>
      </c>
      <c r="BK36" s="412">
        <f t="shared" si="11"/>
        <v>0</v>
      </c>
      <c r="BL36" s="401">
        <f t="shared" si="12"/>
        <v>571800</v>
      </c>
      <c r="BM36" s="412">
        <f t="shared" si="13"/>
        <v>0</v>
      </c>
      <c r="BN36" s="363"/>
    </row>
    <row r="37" spans="1:66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8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341">
        <f t="shared" si="6"/>
        <v>0</v>
      </c>
      <c r="AW37" s="407">
        <v>0</v>
      </c>
      <c r="AX37" s="406"/>
      <c r="AY37" s="405"/>
      <c r="AZ37" s="404"/>
      <c r="BA37" s="407">
        <v>0</v>
      </c>
      <c r="BB37" s="406"/>
      <c r="BC37" s="405"/>
      <c r="BD37" s="404"/>
      <c r="BE37" s="102">
        <v>0</v>
      </c>
      <c r="BF37" s="100">
        <v>0</v>
      </c>
      <c r="BG37" s="403">
        <f t="shared" si="7"/>
        <v>15106</v>
      </c>
      <c r="BH37" s="402">
        <f t="shared" si="9"/>
        <v>0</v>
      </c>
      <c r="BI37" s="401">
        <f t="shared" si="10"/>
        <v>15106</v>
      </c>
      <c r="BJ37" s="400">
        <f t="shared" si="14"/>
        <v>15106</v>
      </c>
      <c r="BK37" s="399">
        <f t="shared" si="11"/>
        <v>0</v>
      </c>
      <c r="BL37" s="400">
        <f t="shared" si="12"/>
        <v>15106</v>
      </c>
      <c r="BM37" s="399">
        <f t="shared" si="13"/>
        <v>0</v>
      </c>
      <c r="BN37" s="363"/>
    </row>
    <row r="38" spans="1:66" s="9" customFormat="1" ht="15.75" thickBot="1" x14ac:dyDescent="0.3">
      <c r="A38" s="106"/>
      <c r="B38" s="80" t="s">
        <v>98</v>
      </c>
      <c r="C38" s="225"/>
      <c r="D38" s="107">
        <f>SUM(D11:D29)</f>
        <v>21051390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2081700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2081700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10">
        <f>SUM(AV11:AV29)</f>
        <v>0</v>
      </c>
      <c r="AW38" s="108">
        <f>SUM(AW11:AW29)</f>
        <v>3863167</v>
      </c>
      <c r="AX38" s="109">
        <f>SUM(AX11:AX29)</f>
        <v>0</v>
      </c>
      <c r="AY38" s="224"/>
      <c r="AZ38" s="110">
        <f>SUM(AZ11:AZ29)</f>
        <v>0</v>
      </c>
      <c r="BA38" s="108">
        <f>SUM(BA11:BA29)</f>
        <v>0</v>
      </c>
      <c r="BB38" s="109">
        <f>SUM(BB11:BB29)</f>
        <v>0</v>
      </c>
      <c r="BC38" s="224"/>
      <c r="BD38" s="110">
        <f>SUM(BD11:BD29)</f>
        <v>0</v>
      </c>
      <c r="BE38" s="111">
        <f>SUM(BE13:BE29)</f>
        <v>0</v>
      </c>
      <c r="BF38" s="112">
        <f>SUM(BF13:BF29)</f>
        <v>0</v>
      </c>
      <c r="BG38" s="113">
        <f t="shared" si="7"/>
        <v>17198883</v>
      </c>
      <c r="BH38" s="398">
        <f t="shared" si="9"/>
        <v>3863167</v>
      </c>
      <c r="BI38" s="398">
        <f>SUM(BI11:BI29)</f>
        <v>6814445</v>
      </c>
      <c r="BJ38" s="398">
        <f t="shared" si="14"/>
        <v>13335716</v>
      </c>
      <c r="BK38" s="397">
        <f t="shared" si="11"/>
        <v>-6521271</v>
      </c>
      <c r="BL38" s="398">
        <f t="shared" si="12"/>
        <v>13335716</v>
      </c>
      <c r="BM38" s="397">
        <f t="shared" si="13"/>
        <v>0</v>
      </c>
      <c r="BN38" s="219"/>
    </row>
    <row r="39" spans="1:66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34641</v>
      </c>
      <c r="AL39" s="222"/>
      <c r="AM39" s="129">
        <f>AM31</f>
        <v>34641</v>
      </c>
      <c r="AN39" s="127">
        <f>AN31</f>
        <v>34641</v>
      </c>
      <c r="AO39" s="128">
        <f>AO31</f>
        <v>34641</v>
      </c>
      <c r="AP39" s="222"/>
      <c r="AQ39" s="129">
        <f>AQ31</f>
        <v>34641</v>
      </c>
      <c r="AR39" s="127">
        <f>AR31</f>
        <v>34641</v>
      </c>
      <c r="AS39" s="128">
        <f>AS31</f>
        <v>34641</v>
      </c>
      <c r="AT39" s="222"/>
      <c r="AU39" s="129">
        <f>AU31</f>
        <v>34641</v>
      </c>
      <c r="AV39" s="129">
        <f>AV31</f>
        <v>0</v>
      </c>
      <c r="AW39" s="127">
        <f>AW31</f>
        <v>34641</v>
      </c>
      <c r="AX39" s="128">
        <f>AX31</f>
        <v>0</v>
      </c>
      <c r="AY39" s="222"/>
      <c r="AZ39" s="129">
        <f>AZ31</f>
        <v>0</v>
      </c>
      <c r="BA39" s="127">
        <f>BA31</f>
        <v>34641</v>
      </c>
      <c r="BB39" s="128">
        <f>BB31</f>
        <v>0</v>
      </c>
      <c r="BC39" s="222"/>
      <c r="BD39" s="129">
        <f>BD31</f>
        <v>0</v>
      </c>
      <c r="BE39" s="130">
        <f>BE31</f>
        <v>0</v>
      </c>
      <c r="BF39" s="131">
        <f>BF31</f>
        <v>0</v>
      </c>
      <c r="BG39" s="113">
        <f t="shared" si="7"/>
        <v>415692</v>
      </c>
      <c r="BH39" s="396">
        <f t="shared" si="9"/>
        <v>69282</v>
      </c>
      <c r="BI39" s="396">
        <f>BI31</f>
        <v>173205</v>
      </c>
      <c r="BJ39" s="396">
        <f t="shared" si="14"/>
        <v>346410</v>
      </c>
      <c r="BK39" s="395">
        <f t="shared" si="11"/>
        <v>-173205</v>
      </c>
      <c r="BL39" s="396">
        <f t="shared" si="12"/>
        <v>346410</v>
      </c>
      <c r="BM39" s="395">
        <f t="shared" si="13"/>
        <v>0</v>
      </c>
      <c r="BN39" s="219"/>
    </row>
    <row r="40" spans="1:66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710885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710885</v>
      </c>
      <c r="AP40" s="220"/>
      <c r="AQ40" s="118">
        <f>SUM(AQ32:AQ37)</f>
        <v>1421770</v>
      </c>
      <c r="AR40" s="116">
        <f>SUM(AR32:AR37)</f>
        <v>907014</v>
      </c>
      <c r="AS40" s="117">
        <f>SUM(AS32:AS37)</f>
        <v>907014</v>
      </c>
      <c r="AT40" s="220"/>
      <c r="AU40" s="118">
        <f>SUM(AU32:AU37)</f>
        <v>907014</v>
      </c>
      <c r="AV40" s="110">
        <f>SUM(AV32:AV37)</f>
        <v>0</v>
      </c>
      <c r="AW40" s="116">
        <f>SUM(AW32:AW37)</f>
        <v>710885</v>
      </c>
      <c r="AX40" s="117">
        <f>SUM(AX32:AX37)</f>
        <v>0</v>
      </c>
      <c r="AY40" s="220"/>
      <c r="AZ40" s="118">
        <f>SUM(AZ32:AZ37)</f>
        <v>0</v>
      </c>
      <c r="BA40" s="116">
        <f>SUM(BA32:BA37)</f>
        <v>710885</v>
      </c>
      <c r="BB40" s="117">
        <f>SUM(BB32:BB37)</f>
        <v>0</v>
      </c>
      <c r="BC40" s="220"/>
      <c r="BD40" s="118">
        <f>SUM(BD32:BD37)</f>
        <v>0</v>
      </c>
      <c r="BE40" s="119">
        <f>SUM(BE32:BE37)</f>
        <v>0</v>
      </c>
      <c r="BF40" s="120">
        <f>SUM(BF32:BF37)</f>
        <v>0</v>
      </c>
      <c r="BG40" s="113">
        <f t="shared" si="7"/>
        <v>9935896</v>
      </c>
      <c r="BH40" s="394">
        <f t="shared" si="9"/>
        <v>1421770</v>
      </c>
      <c r="BI40" s="394">
        <f>SUM(BI32:BI37)</f>
        <v>4567444</v>
      </c>
      <c r="BJ40" s="394">
        <f t="shared" si="14"/>
        <v>8514126</v>
      </c>
      <c r="BK40" s="393">
        <f t="shared" si="11"/>
        <v>-3946682</v>
      </c>
      <c r="BL40" s="394">
        <f t="shared" si="12"/>
        <v>8514126</v>
      </c>
      <c r="BM40" s="393">
        <f t="shared" si="13"/>
        <v>0</v>
      </c>
      <c r="BN40" s="219"/>
    </row>
    <row r="41" spans="1:66" s="9" customFormat="1" ht="15.75" thickBot="1" x14ac:dyDescent="0.3">
      <c r="A41" s="627" t="s">
        <v>101</v>
      </c>
      <c r="B41" s="628"/>
      <c r="C41" s="218"/>
      <c r="D41" s="121">
        <f>SUM(D38:D40)</f>
        <v>31415832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2827226</v>
      </c>
      <c r="AL41" s="217"/>
      <c r="AM41" s="105">
        <f>SUM(AM10:AM37)</f>
        <v>34641</v>
      </c>
      <c r="AN41" s="103">
        <f>SUM(AN10:AN37)</f>
        <v>745526</v>
      </c>
      <c r="AO41" s="104">
        <f>SUM(AO10:AO37)</f>
        <v>745526</v>
      </c>
      <c r="AP41" s="217"/>
      <c r="AQ41" s="105">
        <f>SUM(AQ10:AQ37)</f>
        <v>3538111</v>
      </c>
      <c r="AR41" s="103">
        <f>SUM(AR10:AR37)</f>
        <v>941655</v>
      </c>
      <c r="AS41" s="104">
        <f>SUM(AS10:AS37)</f>
        <v>941655</v>
      </c>
      <c r="AT41" s="217"/>
      <c r="AU41" s="105">
        <f>SUM(AU10:AU37)</f>
        <v>941655</v>
      </c>
      <c r="AV41" s="105">
        <f>SUM(AV10:AV37)</f>
        <v>0</v>
      </c>
      <c r="AW41" s="103">
        <f>SUM(AW10:AW37)</f>
        <v>4608693</v>
      </c>
      <c r="AX41" s="104">
        <f>SUM(AX10:AX37)</f>
        <v>0</v>
      </c>
      <c r="AY41" s="217"/>
      <c r="AZ41" s="105">
        <f>SUM(AZ10:AZ37)</f>
        <v>0</v>
      </c>
      <c r="BA41" s="103">
        <f>SUM(BA10:BA37)</f>
        <v>745526</v>
      </c>
      <c r="BB41" s="104">
        <f>SUM(BB10:BB37)</f>
        <v>0</v>
      </c>
      <c r="BC41" s="217"/>
      <c r="BD41" s="105">
        <f t="shared" ref="BD41:BM41" si="15">SUM(BD10:BD37)</f>
        <v>0</v>
      </c>
      <c r="BE41" s="94">
        <f t="shared" si="15"/>
        <v>0</v>
      </c>
      <c r="BF41" s="95">
        <f t="shared" si="15"/>
        <v>0</v>
      </c>
      <c r="BG41" s="25">
        <f t="shared" si="15"/>
        <v>27550471</v>
      </c>
      <c r="BH41" s="25">
        <f t="shared" si="15"/>
        <v>5354219</v>
      </c>
      <c r="BI41" s="392">
        <f t="shared" si="15"/>
        <v>11555094</v>
      </c>
      <c r="BJ41" s="392">
        <f t="shared" si="15"/>
        <v>22196252</v>
      </c>
      <c r="BK41" s="391">
        <f t="shared" si="15"/>
        <v>-10641158</v>
      </c>
      <c r="BL41" s="392">
        <f t="shared" si="15"/>
        <v>22196252</v>
      </c>
      <c r="BM41" s="391">
        <f t="shared" si="15"/>
        <v>0</v>
      </c>
      <c r="BN41" s="216"/>
    </row>
    <row r="42" spans="1:66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43">
        <f>AR42+AV41</f>
        <v>22196252</v>
      </c>
      <c r="AW42" s="386">
        <f>SUM(AV42,AW41)</f>
        <v>26804945</v>
      </c>
      <c r="AX42" s="385"/>
      <c r="AY42" s="384"/>
      <c r="AZ42" s="383"/>
      <c r="BA42" s="386">
        <f>SUM(AW42,BA41)</f>
        <v>27550471</v>
      </c>
      <c r="BB42" s="385"/>
      <c r="BC42" s="384"/>
      <c r="BD42" s="383"/>
      <c r="BE42" s="383"/>
      <c r="BF42" s="383"/>
      <c r="BG42" s="374"/>
      <c r="BH42" s="373"/>
      <c r="BI42" s="373"/>
      <c r="BJ42" s="373"/>
      <c r="BK42" s="373"/>
      <c r="BL42" s="373"/>
      <c r="BM42" s="373"/>
    </row>
    <row r="43" spans="1:66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20509071</v>
      </c>
      <c r="AL43" s="377"/>
      <c r="AM43" s="375"/>
      <c r="AN43" s="378"/>
      <c r="AO43" s="376">
        <f>SUM(AK43,AO41)</f>
        <v>21254597</v>
      </c>
      <c r="AP43" s="377"/>
      <c r="AQ43" s="375"/>
      <c r="AR43" s="378"/>
      <c r="AS43" s="376">
        <f>SUM(AO43,AS41)</f>
        <v>22196252</v>
      </c>
      <c r="AT43" s="377"/>
      <c r="AU43" s="375"/>
      <c r="AV43" s="342"/>
      <c r="AW43" s="378"/>
      <c r="AX43" s="376">
        <f>SUM(AS43,AX41)</f>
        <v>22196252</v>
      </c>
      <c r="AY43" s="377"/>
      <c r="AZ43" s="375"/>
      <c r="BA43" s="378"/>
      <c r="BB43" s="376">
        <f>+AX43+BB41</f>
        <v>22196252</v>
      </c>
      <c r="BC43" s="377"/>
      <c r="BD43" s="375"/>
      <c r="BE43" s="376">
        <f>BB43+BE41</f>
        <v>22196252</v>
      </c>
      <c r="BF43" s="375"/>
      <c r="BG43" s="374"/>
      <c r="BH43" s="373"/>
      <c r="BI43" s="373"/>
      <c r="BJ43" s="373"/>
      <c r="BK43" s="373"/>
      <c r="BL43" s="373"/>
      <c r="BM43" s="373"/>
    </row>
    <row r="44" spans="1:66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17716486</v>
      </c>
      <c r="AN44" s="368"/>
      <c r="AO44" s="366"/>
      <c r="AP44" s="367"/>
      <c r="AQ44" s="365">
        <f>SUM(AM44,AQ41)</f>
        <v>21254597</v>
      </c>
      <c r="AR44" s="368"/>
      <c r="AS44" s="366"/>
      <c r="AT44" s="367"/>
      <c r="AU44" s="365">
        <f>SUM(AQ44,AU41)</f>
        <v>22196252</v>
      </c>
      <c r="AV44" s="343"/>
      <c r="AW44" s="368"/>
      <c r="AX44" s="366"/>
      <c r="AY44" s="367"/>
      <c r="AZ44" s="365">
        <f>SUM(AU44,AZ41)</f>
        <v>22196252</v>
      </c>
      <c r="BA44" s="368"/>
      <c r="BB44" s="366"/>
      <c r="BC44" s="367"/>
      <c r="BD44" s="365">
        <f>SUM(AZ44,BD41)</f>
        <v>22196252</v>
      </c>
      <c r="BE44" s="366"/>
      <c r="BF44" s="365">
        <f>SUM(BD44,BF41)</f>
        <v>22196252</v>
      </c>
      <c r="BG44" s="363"/>
      <c r="BH44" s="363"/>
      <c r="BI44" s="363"/>
      <c r="BJ44" s="363"/>
      <c r="BK44" s="363"/>
      <c r="BL44" s="363"/>
      <c r="BM44" s="363"/>
    </row>
    <row r="45" spans="1:66" ht="15" customHeight="1" thickTop="1" x14ac:dyDescent="0.4">
      <c r="E45" s="588"/>
      <c r="F45" s="589"/>
      <c r="G45" s="589"/>
      <c r="H45" s="590"/>
      <c r="I45" s="588"/>
      <c r="J45" s="589"/>
      <c r="K45" s="589"/>
      <c r="L45" s="590"/>
      <c r="M45" s="588"/>
      <c r="N45" s="589"/>
      <c r="O45" s="589"/>
      <c r="P45" s="590"/>
      <c r="Q45" s="355"/>
      <c r="R45" s="588"/>
      <c r="S45" s="589"/>
      <c r="T45" s="589"/>
      <c r="U45" s="590"/>
      <c r="V45" s="588"/>
      <c r="W45" s="589"/>
      <c r="X45" s="589"/>
      <c r="Y45" s="590"/>
      <c r="Z45" s="355"/>
      <c r="AA45" s="588"/>
      <c r="AB45" s="589"/>
      <c r="AC45" s="589"/>
      <c r="AD45" s="590"/>
      <c r="AE45" s="588"/>
      <c r="AF45" s="589"/>
      <c r="AG45" s="589"/>
      <c r="AH45" s="590"/>
      <c r="AI45" s="498"/>
      <c r="AJ45" s="588"/>
      <c r="AK45" s="589"/>
      <c r="AL45" s="589"/>
      <c r="AM45" s="590"/>
      <c r="AN45" s="588"/>
      <c r="AO45" s="589"/>
      <c r="AP45" s="589"/>
      <c r="AQ45" s="590"/>
      <c r="AR45" s="588"/>
      <c r="AS45" s="589"/>
      <c r="AT45" s="589"/>
      <c r="AU45" s="590"/>
      <c r="AV45" s="511"/>
      <c r="AW45" s="588"/>
      <c r="AX45" s="589"/>
      <c r="AY45" s="589"/>
      <c r="AZ45" s="590"/>
      <c r="BA45" s="588"/>
      <c r="BB45" s="589"/>
      <c r="BC45" s="589"/>
      <c r="BD45" s="590"/>
      <c r="BE45" s="357"/>
      <c r="BF45" s="595"/>
    </row>
    <row r="46" spans="1:66" ht="15" customHeight="1" thickBot="1" x14ac:dyDescent="0.45">
      <c r="E46" s="591"/>
      <c r="F46" s="591"/>
      <c r="G46" s="591"/>
      <c r="H46" s="592"/>
      <c r="I46" s="591"/>
      <c r="J46" s="591"/>
      <c r="K46" s="591"/>
      <c r="L46" s="592"/>
      <c r="M46" s="591"/>
      <c r="N46" s="591"/>
      <c r="O46" s="591"/>
      <c r="P46" s="592"/>
      <c r="Q46" s="356"/>
      <c r="R46" s="591"/>
      <c r="S46" s="591"/>
      <c r="T46" s="591"/>
      <c r="U46" s="592"/>
      <c r="V46" s="591"/>
      <c r="W46" s="591"/>
      <c r="X46" s="591"/>
      <c r="Y46" s="592"/>
      <c r="Z46" s="356"/>
      <c r="AA46" s="591"/>
      <c r="AB46" s="591"/>
      <c r="AC46" s="591"/>
      <c r="AD46" s="592"/>
      <c r="AE46" s="591"/>
      <c r="AF46" s="591"/>
      <c r="AG46" s="591"/>
      <c r="AH46" s="592"/>
      <c r="AI46" s="499"/>
      <c r="AJ46" s="591"/>
      <c r="AK46" s="591"/>
      <c r="AL46" s="591"/>
      <c r="AM46" s="592"/>
      <c r="AN46" s="591"/>
      <c r="AO46" s="591"/>
      <c r="AP46" s="591"/>
      <c r="AQ46" s="592"/>
      <c r="AR46" s="591"/>
      <c r="AS46" s="591"/>
      <c r="AT46" s="591"/>
      <c r="AU46" s="592"/>
      <c r="AV46" s="512"/>
      <c r="AW46" s="591"/>
      <c r="AX46" s="591"/>
      <c r="AY46" s="591"/>
      <c r="AZ46" s="592"/>
      <c r="BA46" s="591"/>
      <c r="BB46" s="591"/>
      <c r="BC46" s="591"/>
      <c r="BD46" s="592"/>
      <c r="BE46" s="358"/>
      <c r="BF46" s="597"/>
    </row>
    <row r="47" spans="1:66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N46" xr:uid="{20D189A2-C5E2-4F44-B326-EA17F866D0B3}"/>
  <mergeCells count="80">
    <mergeCell ref="AW45:AZ46"/>
    <mergeCell ref="BM5:BM9"/>
    <mergeCell ref="A6:B6"/>
    <mergeCell ref="A7:B7"/>
    <mergeCell ref="A41:B41"/>
    <mergeCell ref="E45:H46"/>
    <mergeCell ref="I45:L46"/>
    <mergeCell ref="M45:P46"/>
    <mergeCell ref="R45:U46"/>
    <mergeCell ref="V45:Y46"/>
    <mergeCell ref="BA45:BD46"/>
    <mergeCell ref="BF45:BF46"/>
    <mergeCell ref="AA45:AD46"/>
    <mergeCell ref="AE45:AH46"/>
    <mergeCell ref="AJ45:AM46"/>
    <mergeCell ref="AN45:AQ46"/>
    <mergeCell ref="AR45:AU46"/>
    <mergeCell ref="BH5:BH9"/>
    <mergeCell ref="BI5:BI9"/>
    <mergeCell ref="BJ5:BJ9"/>
    <mergeCell ref="BK5:BK9"/>
    <mergeCell ref="BL5:BL9"/>
    <mergeCell ref="BB5:BB9"/>
    <mergeCell ref="BD5:BD9"/>
    <mergeCell ref="BE5:BE9"/>
    <mergeCell ref="BF5:BF9"/>
    <mergeCell ref="BG5:BG9"/>
    <mergeCell ref="Y5:Y9"/>
    <mergeCell ref="AW5:AW9"/>
    <mergeCell ref="AX5:AX9"/>
    <mergeCell ref="AZ5:AZ9"/>
    <mergeCell ref="BA5:BA9"/>
    <mergeCell ref="AU5:AU9"/>
    <mergeCell ref="AW3:AZ4"/>
    <mergeCell ref="BA3:BD4"/>
    <mergeCell ref="BE3:BF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AI3:AI9"/>
    <mergeCell ref="AR3:AU4"/>
    <mergeCell ref="AA5:AA9"/>
    <mergeCell ref="AB5:AB9"/>
    <mergeCell ref="AD5:AD9"/>
    <mergeCell ref="AE5:AE9"/>
    <mergeCell ref="AF5:AF9"/>
    <mergeCell ref="AH5:AH9"/>
    <mergeCell ref="AJ5:AJ9"/>
    <mergeCell ref="AK5:AK9"/>
    <mergeCell ref="AM5:AM9"/>
    <mergeCell ref="AN5:AN9"/>
    <mergeCell ref="AO5:AO9"/>
    <mergeCell ref="AQ5:AQ9"/>
    <mergeCell ref="AR5:AR9"/>
    <mergeCell ref="AS5:AS9"/>
    <mergeCell ref="AV3:AV9"/>
    <mergeCell ref="E3:H4"/>
    <mergeCell ref="I3:L4"/>
    <mergeCell ref="M3:P4"/>
    <mergeCell ref="Q3:Q9"/>
    <mergeCell ref="R3:U4"/>
    <mergeCell ref="V3:Y4"/>
    <mergeCell ref="L5:L9"/>
    <mergeCell ref="M5:M9"/>
    <mergeCell ref="N5:N9"/>
    <mergeCell ref="P5:P9"/>
    <mergeCell ref="Z3:Z9"/>
    <mergeCell ref="AA3:AD4"/>
    <mergeCell ref="AE3:AH4"/>
    <mergeCell ref="AJ3:AM4"/>
    <mergeCell ref="AN3:AQ4"/>
  </mergeCells>
  <conditionalFormatting sqref="BH11:BH29 BH31:BH40">
    <cfRule type="cellIs" dxfId="2" priority="2" operator="equal">
      <formula>0</formula>
    </cfRule>
    <cfRule type="expression" dxfId="1" priority="3">
      <formula>BG11=BH11</formula>
    </cfRule>
  </conditionalFormatting>
  <conditionalFormatting sqref="BK10:BK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K63"/>
  <sheetViews>
    <sheetView topLeftCell="A14" zoomScale="90" zoomScaleNormal="90" workbookViewId="0">
      <pane xSplit="3" topLeftCell="AS1" activePane="topRight" state="frozen"/>
      <selection activeCell="A4" sqref="A4"/>
      <selection pane="topRight" activeCell="AX61" sqref="AX61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1" width="16.28515625" style="362" customWidth="1"/>
    <col min="52" max="52" width="16.28515625" style="362" hidden="1" customWidth="1"/>
    <col min="53" max="55" width="16.28515625" style="362" customWidth="1"/>
    <col min="56" max="56" width="16.28515625" style="362" hidden="1" customWidth="1"/>
    <col min="57" max="60" width="16.28515625" style="362" customWidth="1"/>
    <col min="61" max="61" width="16.85546875" style="362" bestFit="1" customWidth="1"/>
    <col min="62" max="63" width="16.28515625" style="362" customWidth="1"/>
    <col min="64" max="16384" width="9.140625" style="335"/>
  </cols>
  <sheetData>
    <row r="6" spans="1:63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0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513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</row>
    <row r="7" spans="1:63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1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514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</row>
    <row r="8" spans="1:63" ht="15" thickBot="1" x14ac:dyDescent="0.25">
      <c r="A8" s="471"/>
      <c r="B8" s="470"/>
      <c r="C8" s="469"/>
      <c r="D8" s="469"/>
      <c r="E8" s="469"/>
    </row>
    <row r="9" spans="1:63" ht="15.75" customHeight="1" thickBot="1" x14ac:dyDescent="0.3">
      <c r="A9" s="62"/>
      <c r="B9" s="629" t="s">
        <v>167</v>
      </c>
      <c r="C9" s="631" t="s">
        <v>166</v>
      </c>
      <c r="D9" s="632"/>
      <c r="E9" s="633"/>
      <c r="F9" s="634" t="s">
        <v>143</v>
      </c>
      <c r="G9" s="635"/>
      <c r="H9" s="636"/>
      <c r="I9" s="637"/>
      <c r="J9" s="638" t="s">
        <v>144</v>
      </c>
      <c r="K9" s="639"/>
      <c r="L9" s="640"/>
      <c r="M9" s="641"/>
      <c r="N9" s="642" t="s">
        <v>145</v>
      </c>
      <c r="O9" s="635"/>
      <c r="P9" s="636"/>
      <c r="Q9" s="637"/>
      <c r="R9" s="643" t="s">
        <v>219</v>
      </c>
      <c r="S9" s="638" t="s">
        <v>146</v>
      </c>
      <c r="T9" s="639"/>
      <c r="U9" s="640"/>
      <c r="V9" s="639"/>
      <c r="W9" s="634" t="s">
        <v>147</v>
      </c>
      <c r="X9" s="635"/>
      <c r="Y9" s="636"/>
      <c r="Z9" s="637"/>
      <c r="AA9" s="643" t="s">
        <v>232</v>
      </c>
      <c r="AB9" s="638" t="s">
        <v>148</v>
      </c>
      <c r="AC9" s="639"/>
      <c r="AD9" s="640"/>
      <c r="AE9" s="641"/>
      <c r="AF9" s="642" t="s">
        <v>149</v>
      </c>
      <c r="AG9" s="635"/>
      <c r="AH9" s="636"/>
      <c r="AI9" s="637"/>
      <c r="AJ9" s="643" t="s">
        <v>234</v>
      </c>
      <c r="AK9" s="638" t="s">
        <v>150</v>
      </c>
      <c r="AL9" s="639"/>
      <c r="AM9" s="640"/>
      <c r="AN9" s="641"/>
      <c r="AO9" s="642" t="s">
        <v>151</v>
      </c>
      <c r="AP9" s="635"/>
      <c r="AQ9" s="636"/>
      <c r="AR9" s="637"/>
      <c r="AS9" s="638" t="s">
        <v>152</v>
      </c>
      <c r="AT9" s="639"/>
      <c r="AU9" s="640"/>
      <c r="AV9" s="641"/>
      <c r="AW9" s="643" t="s">
        <v>235</v>
      </c>
      <c r="AX9" s="642" t="s">
        <v>153</v>
      </c>
      <c r="AY9" s="635"/>
      <c r="AZ9" s="636"/>
      <c r="BA9" s="637"/>
      <c r="BB9" s="638" t="s">
        <v>154</v>
      </c>
      <c r="BC9" s="639"/>
      <c r="BD9" s="640"/>
      <c r="BE9" s="641"/>
      <c r="BF9" s="645" t="s">
        <v>165</v>
      </c>
      <c r="BG9" s="646"/>
      <c r="BH9" s="647" t="s">
        <v>37</v>
      </c>
      <c r="BI9" s="648"/>
      <c r="BJ9" s="648"/>
      <c r="BK9" s="649"/>
    </row>
    <row r="10" spans="1:63" s="465" customFormat="1" ht="60.75" thickBot="1" x14ac:dyDescent="0.3">
      <c r="A10" s="63" t="s">
        <v>105</v>
      </c>
      <c r="B10" s="630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44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44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44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644"/>
      <c r="AX10" s="56" t="s">
        <v>19</v>
      </c>
      <c r="AY10" s="57" t="s">
        <v>35</v>
      </c>
      <c r="AZ10" s="132"/>
      <c r="BA10" s="58" t="s">
        <v>36</v>
      </c>
      <c r="BB10" s="56" t="s">
        <v>19</v>
      </c>
      <c r="BC10" s="57" t="s">
        <v>35</v>
      </c>
      <c r="BD10" s="132"/>
      <c r="BE10" s="58" t="s">
        <v>36</v>
      </c>
      <c r="BF10" s="122" t="s">
        <v>85</v>
      </c>
      <c r="BG10" s="123" t="s">
        <v>86</v>
      </c>
      <c r="BH10" s="50" t="s">
        <v>163</v>
      </c>
      <c r="BI10" s="50" t="s">
        <v>108</v>
      </c>
      <c r="BJ10" s="47" t="s">
        <v>109</v>
      </c>
      <c r="BK10" s="51" t="s">
        <v>110</v>
      </c>
    </row>
    <row r="11" spans="1:63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1217.22</v>
      </c>
      <c r="AM11" s="133" t="e">
        <f>SUM(AM12,#REF!)</f>
        <v>#REF!</v>
      </c>
      <c r="AN11" s="53">
        <f>SUM(AN12)</f>
        <v>353487.77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352270.55000000005</v>
      </c>
      <c r="AU11" s="133" t="e">
        <f>SUM(AU12,#REF!)</f>
        <v>#REF!</v>
      </c>
      <c r="AV11" s="53">
        <f>SUM(AV12)</f>
        <v>0</v>
      </c>
      <c r="AW11" s="340">
        <f>SUM(AW12)</f>
        <v>8.2309559965551671E-2</v>
      </c>
      <c r="AX11" s="67">
        <f>SUM(AX12)</f>
        <v>1217.22</v>
      </c>
      <c r="AY11" s="48">
        <f>SUM(AY12)</f>
        <v>0</v>
      </c>
      <c r="AZ11" s="133" t="e">
        <f>SUM(AZ12,#REF!)</f>
        <v>#REF!</v>
      </c>
      <c r="BA11" s="53">
        <f>SUM(BA12)</f>
        <v>0</v>
      </c>
      <c r="BB11" s="67">
        <f>SUM(BB12)</f>
        <v>0</v>
      </c>
      <c r="BC11" s="48">
        <f>SUM(BC12)</f>
        <v>0</v>
      </c>
      <c r="BD11" s="133" t="e">
        <f>SUM(BD12,#REF!)</f>
        <v>#REF!</v>
      </c>
      <c r="BE11" s="53">
        <f>SUM(BE12)</f>
        <v>0</v>
      </c>
      <c r="BF11" s="97">
        <f>SUM(BF12,BF40,BF44,BF46)</f>
        <v>0</v>
      </c>
      <c r="BG11" s="90">
        <f>SUM(BG12,BG40,BG44,BG46)</f>
        <v>0</v>
      </c>
      <c r="BH11" s="52">
        <f>SUM(BH12+BH40+BH44)</f>
        <v>2178964.9033333333</v>
      </c>
      <c r="BI11" s="52">
        <f>SUM(BI12,BI40,BI44,BI46,BI38)</f>
        <v>1619933.6400000006</v>
      </c>
      <c r="BJ11" s="48">
        <f>SUM(BJ12,BJ40,BJ44,BJ46,BJ38)</f>
        <v>1619933.6400000001</v>
      </c>
      <c r="BK11" s="53">
        <f>SUM(BK12,BK40,BK44,BK46,BK38)</f>
        <v>1288497.1200000001</v>
      </c>
    </row>
    <row r="12" spans="1:63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K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1217.22</v>
      </c>
      <c r="AM12" s="135">
        <f t="shared" si="1"/>
        <v>0</v>
      </c>
      <c r="AN12" s="55">
        <f t="shared" si="1"/>
        <v>353487.77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352270.55000000005</v>
      </c>
      <c r="AU12" s="135">
        <f t="shared" si="1"/>
        <v>0</v>
      </c>
      <c r="AV12" s="55">
        <f t="shared" si="1"/>
        <v>0</v>
      </c>
      <c r="AW12" s="340">
        <f t="shared" ref="AW12" si="2">SUM(AW13:AW37)</f>
        <v>8.2309559965551671E-2</v>
      </c>
      <c r="AX12" s="76">
        <f t="shared" si="1"/>
        <v>1217.22</v>
      </c>
      <c r="AY12" s="49">
        <f t="shared" si="1"/>
        <v>0</v>
      </c>
      <c r="AZ12" s="135">
        <f t="shared" si="1"/>
        <v>0</v>
      </c>
      <c r="BA12" s="55">
        <f t="shared" si="1"/>
        <v>0</v>
      </c>
      <c r="BB12" s="76">
        <f t="shared" si="1"/>
        <v>0</v>
      </c>
      <c r="BC12" s="49">
        <f t="shared" si="1"/>
        <v>0</v>
      </c>
      <c r="BD12" s="135">
        <f t="shared" si="1"/>
        <v>0</v>
      </c>
      <c r="BE12" s="55">
        <f t="shared" si="1"/>
        <v>0</v>
      </c>
      <c r="BF12" s="96">
        <f t="shared" si="1"/>
        <v>0</v>
      </c>
      <c r="BG12" s="92">
        <f t="shared" si="1"/>
        <v>0</v>
      </c>
      <c r="BH12" s="54">
        <f t="shared" si="1"/>
        <v>1407064.49</v>
      </c>
      <c r="BI12" s="54">
        <f t="shared" si="1"/>
        <v>1405847.2700000003</v>
      </c>
      <c r="BJ12" s="49">
        <f t="shared" si="1"/>
        <v>1405847.27</v>
      </c>
      <c r="BK12" s="55">
        <f t="shared" si="1"/>
        <v>1053576.72</v>
      </c>
    </row>
    <row r="13" spans="1:63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1217.22</v>
      </c>
      <c r="AM13" s="134"/>
      <c r="AN13" s="70">
        <v>2101.89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884.67</v>
      </c>
      <c r="AU13" s="134"/>
      <c r="AV13" s="70">
        <v>0</v>
      </c>
      <c r="AW13" s="344">
        <v>2.5000000000545697E-3</v>
      </c>
      <c r="AX13" s="74">
        <v>1217.22</v>
      </c>
      <c r="AY13" s="69">
        <v>0</v>
      </c>
      <c r="AZ13" s="134"/>
      <c r="BA13" s="70">
        <v>0</v>
      </c>
      <c r="BB13" s="74">
        <v>0</v>
      </c>
      <c r="BC13" s="69">
        <v>0</v>
      </c>
      <c r="BD13" s="134"/>
      <c r="BE13" s="70">
        <v>0</v>
      </c>
      <c r="BF13" s="91"/>
      <c r="BG13" s="91"/>
      <c r="BH13" s="68">
        <f>(F13+J13+N13+S13+W13+AB13+AF13+AK13+AO13+AS13+AX13+BB13)+R13+AA13+AJ13+AW13</f>
        <v>8390.2200000000012</v>
      </c>
      <c r="BI13" s="68">
        <f>SUM(F13+J13+N13+S13+W13+AB13+AF13+AK13+AO13+AS13)+R13+AA13+AJ13+AW13</f>
        <v>7173</v>
      </c>
      <c r="BJ13" s="69">
        <f t="shared" ref="BJ13:BJ37" si="3">G13+K13+O13+T13+X13+AC13+AG13+AL13+AP13+AT13+AY13+BC13+BF13</f>
        <v>7173.0000000000009</v>
      </c>
      <c r="BK13" s="70">
        <f t="shared" ref="BK13:BK37" si="4">I13+M13+Q13+V13+Z13+AE13+AI13+AN13+AR13+AV13+BA13+BE13+BG13</f>
        <v>6288.33</v>
      </c>
    </row>
    <row r="14" spans="1:63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377.3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377.3</v>
      </c>
      <c r="AU14" s="134"/>
      <c r="AV14" s="70">
        <v>0</v>
      </c>
      <c r="AW14" s="344">
        <v>4.1420000000016444E-3</v>
      </c>
      <c r="AX14" s="74">
        <v>0</v>
      </c>
      <c r="AY14" s="69">
        <v>0</v>
      </c>
      <c r="AZ14" s="134"/>
      <c r="BA14" s="70">
        <v>0</v>
      </c>
      <c r="BB14" s="74">
        <v>0</v>
      </c>
      <c r="BC14" s="69">
        <v>0</v>
      </c>
      <c r="BD14" s="134"/>
      <c r="BE14" s="70">
        <v>0</v>
      </c>
      <c r="BF14" s="91"/>
      <c r="BG14" s="91"/>
      <c r="BH14" s="68">
        <f t="shared" ref="BH14:BH41" si="5">(F14+J14+N14+S14+W14+AB14+AF14+AK14+AO14+AS14+AX14+BB14)+R14+AA14+AJ14+AW14</f>
        <v>1501.79</v>
      </c>
      <c r="BI14" s="68">
        <f t="shared" ref="BI14:BI43" si="6">SUM(F14+J14+N14+S14+W14+AB14+AF14+AK14+AO14+AS14)+R14+AA14+AJ14+AW14</f>
        <v>1501.79</v>
      </c>
      <c r="BJ14" s="69">
        <f t="shared" si="3"/>
        <v>1501.79</v>
      </c>
      <c r="BK14" s="70">
        <f t="shared" si="4"/>
        <v>1124.49</v>
      </c>
    </row>
    <row r="15" spans="1:63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748.11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748.11</v>
      </c>
      <c r="AU15" s="134"/>
      <c r="AV15" s="70">
        <v>0</v>
      </c>
      <c r="AW15" s="344">
        <v>0</v>
      </c>
      <c r="AX15" s="74">
        <v>0</v>
      </c>
      <c r="AY15" s="69">
        <v>0</v>
      </c>
      <c r="AZ15" s="134"/>
      <c r="BA15" s="70">
        <v>0</v>
      </c>
      <c r="BB15" s="74">
        <v>0</v>
      </c>
      <c r="BC15" s="69">
        <v>0</v>
      </c>
      <c r="BD15" s="134"/>
      <c r="BE15" s="70">
        <v>0</v>
      </c>
      <c r="BF15" s="91"/>
      <c r="BG15" s="91"/>
      <c r="BH15" s="68">
        <f t="shared" si="5"/>
        <v>2977.7799999999997</v>
      </c>
      <c r="BI15" s="68">
        <f t="shared" si="6"/>
        <v>2977.7799999999997</v>
      </c>
      <c r="BJ15" s="69">
        <f t="shared" si="3"/>
        <v>2977.78</v>
      </c>
      <c r="BK15" s="70">
        <f t="shared" si="4"/>
        <v>2229.67</v>
      </c>
    </row>
    <row r="16" spans="1:63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19520.02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19520.02</v>
      </c>
      <c r="AU16" s="134"/>
      <c r="AV16" s="70">
        <v>0</v>
      </c>
      <c r="AW16" s="344">
        <v>5.0000000010186341E-3</v>
      </c>
      <c r="AX16" s="74">
        <v>0</v>
      </c>
      <c r="AY16" s="69">
        <v>0</v>
      </c>
      <c r="AZ16" s="134"/>
      <c r="BA16" s="70">
        <v>0</v>
      </c>
      <c r="BB16" s="74">
        <v>0</v>
      </c>
      <c r="BC16" s="69">
        <v>0</v>
      </c>
      <c r="BD16" s="134"/>
      <c r="BE16" s="70">
        <v>0</v>
      </c>
      <c r="BF16" s="91"/>
      <c r="BG16" s="91"/>
      <c r="BH16" s="68">
        <f t="shared" si="5"/>
        <v>77697.320000000007</v>
      </c>
      <c r="BI16" s="68">
        <f t="shared" si="6"/>
        <v>77697.320000000007</v>
      </c>
      <c r="BJ16" s="69">
        <f t="shared" si="3"/>
        <v>77697.320000000007</v>
      </c>
      <c r="BK16" s="70">
        <f t="shared" si="4"/>
        <v>58177.3</v>
      </c>
    </row>
    <row r="17" spans="1:63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9760.01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9760.01</v>
      </c>
      <c r="AU17" s="134"/>
      <c r="AV17" s="70">
        <v>0</v>
      </c>
      <c r="AW17" s="344">
        <v>1.9940000001952285E-3</v>
      </c>
      <c r="AX17" s="74">
        <v>0</v>
      </c>
      <c r="AY17" s="69">
        <v>0</v>
      </c>
      <c r="AZ17" s="134"/>
      <c r="BA17" s="70">
        <v>0</v>
      </c>
      <c r="BB17" s="74">
        <v>0</v>
      </c>
      <c r="BC17" s="69">
        <v>0</v>
      </c>
      <c r="BD17" s="134"/>
      <c r="BE17" s="70">
        <v>0</v>
      </c>
      <c r="BF17" s="91"/>
      <c r="BG17" s="91"/>
      <c r="BH17" s="68">
        <f t="shared" si="5"/>
        <v>38848.649999999994</v>
      </c>
      <c r="BI17" s="68">
        <f t="shared" si="6"/>
        <v>38848.649999999994</v>
      </c>
      <c r="BJ17" s="69">
        <f t="shared" si="3"/>
        <v>38848.65</v>
      </c>
      <c r="BK17" s="70">
        <f t="shared" si="4"/>
        <v>29088.639999999999</v>
      </c>
    </row>
    <row r="18" spans="1:63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6506.85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6506.85</v>
      </c>
      <c r="AU18" s="134"/>
      <c r="AV18" s="70">
        <v>0</v>
      </c>
      <c r="AW18" s="344">
        <v>1.1279999998805579E-3</v>
      </c>
      <c r="AX18" s="74">
        <v>0</v>
      </c>
      <c r="AY18" s="69">
        <v>0</v>
      </c>
      <c r="AZ18" s="134"/>
      <c r="BA18" s="70">
        <v>0</v>
      </c>
      <c r="BB18" s="74">
        <v>0</v>
      </c>
      <c r="BC18" s="69">
        <v>0</v>
      </c>
      <c r="BD18" s="134"/>
      <c r="BE18" s="70">
        <v>0</v>
      </c>
      <c r="BF18" s="91"/>
      <c r="BG18" s="91"/>
      <c r="BH18" s="68">
        <f t="shared" si="5"/>
        <v>25899.800000000003</v>
      </c>
      <c r="BI18" s="68">
        <f t="shared" si="6"/>
        <v>25899.800000000003</v>
      </c>
      <c r="BJ18" s="69">
        <f t="shared" si="3"/>
        <v>25899.800000000003</v>
      </c>
      <c r="BK18" s="70">
        <f t="shared" si="4"/>
        <v>19392.95</v>
      </c>
    </row>
    <row r="19" spans="1:63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3774.03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3774.03</v>
      </c>
      <c r="AU19" s="134"/>
      <c r="AV19" s="70">
        <v>0</v>
      </c>
      <c r="AW19" s="344">
        <v>2.4090000001706358E-3</v>
      </c>
      <c r="AX19" s="74">
        <v>0</v>
      </c>
      <c r="AY19" s="69">
        <v>0</v>
      </c>
      <c r="AZ19" s="134"/>
      <c r="BA19" s="70">
        <v>0</v>
      </c>
      <c r="BB19" s="74">
        <v>0</v>
      </c>
      <c r="BC19" s="69">
        <v>0</v>
      </c>
      <c r="BD19" s="134"/>
      <c r="BE19" s="70">
        <v>0</v>
      </c>
      <c r="BF19" s="91"/>
      <c r="BG19" s="91"/>
      <c r="BH19" s="68">
        <f t="shared" si="5"/>
        <v>15022.110000000004</v>
      </c>
      <c r="BI19" s="68">
        <f t="shared" si="6"/>
        <v>15022.110000000004</v>
      </c>
      <c r="BJ19" s="69">
        <f t="shared" si="3"/>
        <v>15022.11</v>
      </c>
      <c r="BK19" s="70">
        <f t="shared" si="4"/>
        <v>11248.08</v>
      </c>
    </row>
    <row r="20" spans="1:63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5450.2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5450.2</v>
      </c>
      <c r="AU20" s="134"/>
      <c r="AV20" s="70">
        <v>0</v>
      </c>
      <c r="AW20" s="344">
        <v>4.6729599989703274E-3</v>
      </c>
      <c r="AX20" s="74">
        <v>0</v>
      </c>
      <c r="AY20" s="69">
        <v>0</v>
      </c>
      <c r="AZ20" s="134"/>
      <c r="BA20" s="70">
        <v>0</v>
      </c>
      <c r="BB20" s="74">
        <v>0</v>
      </c>
      <c r="BC20" s="69">
        <v>0</v>
      </c>
      <c r="BD20" s="134"/>
      <c r="BE20" s="70">
        <v>0</v>
      </c>
      <c r="BF20" s="91"/>
      <c r="BG20" s="91"/>
      <c r="BH20" s="68">
        <f t="shared" si="5"/>
        <v>21693.920000000002</v>
      </c>
      <c r="BI20" s="68">
        <f t="shared" si="6"/>
        <v>21693.920000000002</v>
      </c>
      <c r="BJ20" s="69">
        <f t="shared" si="3"/>
        <v>21693.920000000002</v>
      </c>
      <c r="BK20" s="70">
        <f t="shared" si="4"/>
        <v>16243.720000000001</v>
      </c>
    </row>
    <row r="21" spans="1:63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1795.8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1795.8</v>
      </c>
      <c r="AU21" s="134"/>
      <c r="AV21" s="70">
        <v>0</v>
      </c>
      <c r="AW21" s="344">
        <v>4.574999999931606E-3</v>
      </c>
      <c r="AX21" s="74">
        <v>0</v>
      </c>
      <c r="AY21" s="69">
        <v>0</v>
      </c>
      <c r="AZ21" s="134"/>
      <c r="BA21" s="70">
        <v>0</v>
      </c>
      <c r="BB21" s="74">
        <v>0</v>
      </c>
      <c r="BC21" s="69">
        <v>0</v>
      </c>
      <c r="BD21" s="134"/>
      <c r="BE21" s="70">
        <v>0</v>
      </c>
      <c r="BF21" s="91"/>
      <c r="BG21" s="91"/>
      <c r="BH21" s="68">
        <f t="shared" si="5"/>
        <v>7147.99</v>
      </c>
      <c r="BI21" s="68">
        <f t="shared" si="6"/>
        <v>7147.99</v>
      </c>
      <c r="BJ21" s="69">
        <f t="shared" si="3"/>
        <v>7147.99</v>
      </c>
      <c r="BK21" s="70">
        <f t="shared" si="4"/>
        <v>5352.19</v>
      </c>
    </row>
    <row r="22" spans="1:63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5271.03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5271.03</v>
      </c>
      <c r="AU22" s="134"/>
      <c r="AV22" s="70">
        <v>0</v>
      </c>
      <c r="AW22" s="344">
        <v>3.0000000151630957E-5</v>
      </c>
      <c r="AX22" s="74">
        <v>0</v>
      </c>
      <c r="AY22" s="69">
        <v>0</v>
      </c>
      <c r="AZ22" s="134"/>
      <c r="BA22" s="70">
        <v>0</v>
      </c>
      <c r="BB22" s="74">
        <v>0</v>
      </c>
      <c r="BC22" s="69">
        <v>0</v>
      </c>
      <c r="BD22" s="134"/>
      <c r="BE22" s="70">
        <v>0</v>
      </c>
      <c r="BF22" s="91"/>
      <c r="BG22" s="91"/>
      <c r="BH22" s="68">
        <f t="shared" si="5"/>
        <v>20980.760000000002</v>
      </c>
      <c r="BI22" s="68">
        <f t="shared" si="6"/>
        <v>20980.760000000002</v>
      </c>
      <c r="BJ22" s="69">
        <f t="shared" si="3"/>
        <v>20980.76</v>
      </c>
      <c r="BK22" s="70">
        <f t="shared" si="4"/>
        <v>15709.73</v>
      </c>
    </row>
    <row r="23" spans="1:63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12123.26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12123.26</v>
      </c>
      <c r="AU23" s="134"/>
      <c r="AV23" s="70">
        <v>0</v>
      </c>
      <c r="AW23" s="344">
        <v>2.4599999997008126E-3</v>
      </c>
      <c r="AX23" s="74">
        <v>0</v>
      </c>
      <c r="AY23" s="69">
        <v>0</v>
      </c>
      <c r="AZ23" s="134"/>
      <c r="BA23" s="70">
        <v>0</v>
      </c>
      <c r="BB23" s="74">
        <v>0</v>
      </c>
      <c r="BC23" s="69">
        <v>0</v>
      </c>
      <c r="BD23" s="134"/>
      <c r="BE23" s="70">
        <v>0</v>
      </c>
      <c r="BF23" s="91"/>
      <c r="BG23" s="91"/>
      <c r="BH23" s="68">
        <f t="shared" si="5"/>
        <v>48255.310000000012</v>
      </c>
      <c r="BI23" s="68">
        <f t="shared" si="6"/>
        <v>48255.310000000012</v>
      </c>
      <c r="BJ23" s="69">
        <f t="shared" si="3"/>
        <v>48255.310000000005</v>
      </c>
      <c r="BK23" s="70">
        <f t="shared" si="4"/>
        <v>36132.050000000003</v>
      </c>
    </row>
    <row r="24" spans="1:63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4710.1000000000004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4710.1000000000004</v>
      </c>
      <c r="AU24" s="134"/>
      <c r="AV24" s="70">
        <v>0</v>
      </c>
      <c r="AW24" s="344">
        <v>-5.0000000001091394E-3</v>
      </c>
      <c r="AX24" s="74">
        <v>0</v>
      </c>
      <c r="AY24" s="69">
        <v>0</v>
      </c>
      <c r="AZ24" s="134"/>
      <c r="BA24" s="70">
        <v>0</v>
      </c>
      <c r="BB24" s="74">
        <v>0</v>
      </c>
      <c r="BC24" s="69">
        <v>0</v>
      </c>
      <c r="BD24" s="134"/>
      <c r="BE24" s="70">
        <v>0</v>
      </c>
      <c r="BF24" s="91"/>
      <c r="BG24" s="91"/>
      <c r="BH24" s="68">
        <f t="shared" si="5"/>
        <v>18748.019999999997</v>
      </c>
      <c r="BI24" s="68">
        <f t="shared" si="6"/>
        <v>18748.019999999997</v>
      </c>
      <c r="BJ24" s="69">
        <f t="shared" si="3"/>
        <v>18748.02</v>
      </c>
      <c r="BK24" s="70">
        <f t="shared" si="4"/>
        <v>14037.92</v>
      </c>
    </row>
    <row r="25" spans="1:63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17663.03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17663.03</v>
      </c>
      <c r="AU25" s="134"/>
      <c r="AV25" s="70">
        <v>0</v>
      </c>
      <c r="AW25" s="344">
        <v>-1.6013999993447214E-3</v>
      </c>
      <c r="AX25" s="74">
        <v>0</v>
      </c>
      <c r="AY25" s="69">
        <v>0</v>
      </c>
      <c r="AZ25" s="134"/>
      <c r="BA25" s="70">
        <v>0</v>
      </c>
      <c r="BB25" s="74">
        <v>0</v>
      </c>
      <c r="BC25" s="69">
        <v>0</v>
      </c>
      <c r="BD25" s="134"/>
      <c r="BE25" s="70">
        <v>0</v>
      </c>
      <c r="BF25" s="91"/>
      <c r="BG25" s="91"/>
      <c r="BH25" s="68">
        <f t="shared" si="5"/>
        <v>70305.790000000008</v>
      </c>
      <c r="BI25" s="68">
        <f t="shared" si="6"/>
        <v>70305.790000000008</v>
      </c>
      <c r="BJ25" s="69">
        <f t="shared" si="3"/>
        <v>70305.790000000008</v>
      </c>
      <c r="BK25" s="70">
        <f t="shared" si="4"/>
        <v>52642.76</v>
      </c>
    </row>
    <row r="26" spans="1:63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14545.84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14545.84</v>
      </c>
      <c r="AU26" s="134"/>
      <c r="AV26" s="70">
        <v>0</v>
      </c>
      <c r="AW26" s="344">
        <v>2.4999999986903276E-3</v>
      </c>
      <c r="AX26" s="74">
        <v>0</v>
      </c>
      <c r="AY26" s="69">
        <v>0</v>
      </c>
      <c r="AZ26" s="134"/>
      <c r="BA26" s="70">
        <v>0</v>
      </c>
      <c r="BB26" s="74">
        <v>0</v>
      </c>
      <c r="BC26" s="69">
        <v>0</v>
      </c>
      <c r="BD26" s="134"/>
      <c r="BE26" s="70">
        <v>0</v>
      </c>
      <c r="BF26" s="91"/>
      <c r="BG26" s="91"/>
      <c r="BH26" s="68">
        <f t="shared" si="5"/>
        <v>57899.41</v>
      </c>
      <c r="BI26" s="68">
        <f t="shared" si="6"/>
        <v>57899.41</v>
      </c>
      <c r="BJ26" s="69">
        <f t="shared" si="3"/>
        <v>57899.409999999989</v>
      </c>
      <c r="BK26" s="70">
        <f t="shared" si="4"/>
        <v>43353.569999999992</v>
      </c>
    </row>
    <row r="27" spans="1:63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9545.7699999999986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9545.7699999999986</v>
      </c>
      <c r="AU27" s="134"/>
      <c r="AV27" s="70">
        <v>0</v>
      </c>
      <c r="AW27" s="344">
        <v>9.9999999965802999E-3</v>
      </c>
      <c r="AX27" s="74">
        <v>0</v>
      </c>
      <c r="AY27" s="69">
        <v>0</v>
      </c>
      <c r="AZ27" s="134"/>
      <c r="BA27" s="70">
        <v>0</v>
      </c>
      <c r="BB27" s="74">
        <v>0</v>
      </c>
      <c r="BC27" s="69">
        <v>0</v>
      </c>
      <c r="BD27" s="134"/>
      <c r="BE27" s="70">
        <v>0</v>
      </c>
      <c r="BF27" s="91"/>
      <c r="BG27" s="91"/>
      <c r="BH27" s="68">
        <f t="shared" si="5"/>
        <v>37996.729999999996</v>
      </c>
      <c r="BI27" s="68">
        <f t="shared" si="6"/>
        <v>37996.729999999996</v>
      </c>
      <c r="BJ27" s="69">
        <f t="shared" si="3"/>
        <v>37996.729999999996</v>
      </c>
      <c r="BK27" s="70">
        <f t="shared" si="4"/>
        <v>28450.959999999999</v>
      </c>
    </row>
    <row r="28" spans="1:63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19318.46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19318.46</v>
      </c>
      <c r="AU28" s="134"/>
      <c r="AV28" s="70">
        <v>0</v>
      </c>
      <c r="AW28" s="344">
        <v>9.9999999983992893E-3</v>
      </c>
      <c r="AX28" s="74">
        <v>0</v>
      </c>
      <c r="AY28" s="69">
        <v>0</v>
      </c>
      <c r="AZ28" s="134"/>
      <c r="BA28" s="70">
        <v>0</v>
      </c>
      <c r="BB28" s="74">
        <v>0</v>
      </c>
      <c r="BC28" s="69">
        <v>0</v>
      </c>
      <c r="BD28" s="134"/>
      <c r="BE28" s="70">
        <v>0</v>
      </c>
      <c r="BF28" s="91"/>
      <c r="BG28" s="91"/>
      <c r="BH28" s="68">
        <f t="shared" si="5"/>
        <v>76896.769999999975</v>
      </c>
      <c r="BI28" s="68">
        <f t="shared" si="6"/>
        <v>76896.769999999975</v>
      </c>
      <c r="BJ28" s="69">
        <f t="shared" si="3"/>
        <v>76896.76999999999</v>
      </c>
      <c r="BK28" s="70">
        <f t="shared" si="4"/>
        <v>57578.30999999999</v>
      </c>
    </row>
    <row r="29" spans="1:63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104092.37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104092.37</v>
      </c>
      <c r="AU29" s="134"/>
      <c r="AV29" s="70">
        <v>0</v>
      </c>
      <c r="AW29" s="344">
        <v>7.4999999778810889E-3</v>
      </c>
      <c r="AX29" s="74">
        <v>0</v>
      </c>
      <c r="AY29" s="69">
        <v>0</v>
      </c>
      <c r="AZ29" s="134"/>
      <c r="BA29" s="70">
        <v>0</v>
      </c>
      <c r="BB29" s="74">
        <v>0</v>
      </c>
      <c r="BC29" s="69">
        <v>0</v>
      </c>
      <c r="BD29" s="134"/>
      <c r="BE29" s="70">
        <v>0</v>
      </c>
      <c r="BF29" s="91"/>
      <c r="BG29" s="91"/>
      <c r="BH29" s="68">
        <f t="shared" si="5"/>
        <v>414337.61</v>
      </c>
      <c r="BI29" s="68">
        <f t="shared" si="6"/>
        <v>414337.61</v>
      </c>
      <c r="BJ29" s="69">
        <f t="shared" si="3"/>
        <v>414337.61</v>
      </c>
      <c r="BK29" s="70">
        <f t="shared" si="4"/>
        <v>310245.24</v>
      </c>
    </row>
    <row r="30" spans="1:63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13636.49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13636.49</v>
      </c>
      <c r="AU30" s="134"/>
      <c r="AV30" s="70">
        <v>0</v>
      </c>
      <c r="AW30" s="344">
        <v>0</v>
      </c>
      <c r="AX30" s="74">
        <v>0</v>
      </c>
      <c r="AY30" s="69">
        <v>0</v>
      </c>
      <c r="AZ30" s="134"/>
      <c r="BA30" s="70">
        <v>0</v>
      </c>
      <c r="BB30" s="74">
        <v>0</v>
      </c>
      <c r="BC30" s="69">
        <v>0</v>
      </c>
      <c r="BD30" s="134"/>
      <c r="BE30" s="70">
        <v>0</v>
      </c>
      <c r="BF30" s="91"/>
      <c r="BG30" s="91"/>
      <c r="BH30" s="68">
        <f t="shared" si="5"/>
        <v>54279.760000000009</v>
      </c>
      <c r="BI30" s="68">
        <f t="shared" si="6"/>
        <v>54279.760000000009</v>
      </c>
      <c r="BJ30" s="69">
        <f t="shared" si="3"/>
        <v>54279.76</v>
      </c>
      <c r="BK30" s="70">
        <f t="shared" si="4"/>
        <v>40643.270000000004</v>
      </c>
    </row>
    <row r="31" spans="1:63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12224.279999999999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12224.279999999999</v>
      </c>
      <c r="AU31" s="134"/>
      <c r="AV31" s="70">
        <v>0</v>
      </c>
      <c r="AW31" s="344">
        <v>-2.500000000509317E-3</v>
      </c>
      <c r="AX31" s="74">
        <v>0</v>
      </c>
      <c r="AY31" s="69">
        <v>0</v>
      </c>
      <c r="AZ31" s="134"/>
      <c r="BA31" s="70">
        <v>0</v>
      </c>
      <c r="BB31" s="74">
        <v>0</v>
      </c>
      <c r="BC31" s="69">
        <v>0</v>
      </c>
      <c r="BD31" s="134"/>
      <c r="BE31" s="70">
        <v>0</v>
      </c>
      <c r="BF31" s="91"/>
      <c r="BG31" s="91"/>
      <c r="BH31" s="68">
        <f t="shared" si="5"/>
        <v>48657.429999999993</v>
      </c>
      <c r="BI31" s="68">
        <f t="shared" si="6"/>
        <v>48657.429999999993</v>
      </c>
      <c r="BJ31" s="69">
        <f t="shared" si="3"/>
        <v>48657.429999999993</v>
      </c>
      <c r="BK31" s="70">
        <f t="shared" si="4"/>
        <v>36433.149999999994</v>
      </c>
    </row>
    <row r="32" spans="1:63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14867.26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14867.26</v>
      </c>
      <c r="AU32" s="134"/>
      <c r="AV32" s="70">
        <v>0</v>
      </c>
      <c r="AW32" s="344">
        <v>4.9999999991996447E-3</v>
      </c>
      <c r="AX32" s="74">
        <v>0</v>
      </c>
      <c r="AY32" s="69">
        <v>0</v>
      </c>
      <c r="AZ32" s="134"/>
      <c r="BA32" s="70">
        <v>0</v>
      </c>
      <c r="BB32" s="74">
        <v>0</v>
      </c>
      <c r="BC32" s="69">
        <v>0</v>
      </c>
      <c r="BD32" s="134"/>
      <c r="BE32" s="70">
        <v>0</v>
      </c>
      <c r="BF32" s="91"/>
      <c r="BG32" s="91"/>
      <c r="BH32" s="68">
        <f t="shared" si="5"/>
        <v>59177.520000000004</v>
      </c>
      <c r="BI32" s="68">
        <f t="shared" si="6"/>
        <v>59177.520000000004</v>
      </c>
      <c r="BJ32" s="69">
        <f t="shared" si="3"/>
        <v>59177.520000000004</v>
      </c>
      <c r="BK32" s="70">
        <f t="shared" si="4"/>
        <v>44310.26</v>
      </c>
    </row>
    <row r="33" spans="1:63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19318.46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19318.46</v>
      </c>
      <c r="AU33" s="134"/>
      <c r="AV33" s="70">
        <v>0</v>
      </c>
      <c r="AW33" s="344">
        <v>9.9999999983992893E-3</v>
      </c>
      <c r="AX33" s="74">
        <v>0</v>
      </c>
      <c r="AY33" s="69">
        <v>0</v>
      </c>
      <c r="AZ33" s="134"/>
      <c r="BA33" s="70">
        <v>0</v>
      </c>
      <c r="BB33" s="74">
        <v>0</v>
      </c>
      <c r="BC33" s="69">
        <v>0</v>
      </c>
      <c r="BD33" s="134"/>
      <c r="BE33" s="70">
        <v>0</v>
      </c>
      <c r="BF33" s="91"/>
      <c r="BG33" s="91"/>
      <c r="BH33" s="68">
        <f t="shared" si="5"/>
        <v>76896.769999999975</v>
      </c>
      <c r="BI33" s="68">
        <f t="shared" si="6"/>
        <v>76896.769999999975</v>
      </c>
      <c r="BJ33" s="69">
        <f t="shared" si="3"/>
        <v>76896.76999999999</v>
      </c>
      <c r="BK33" s="70">
        <f t="shared" si="4"/>
        <v>57578.30999999999</v>
      </c>
    </row>
    <row r="34" spans="1:63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21364.1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21364.1</v>
      </c>
      <c r="AU34" s="134"/>
      <c r="AV34" s="70">
        <v>0</v>
      </c>
      <c r="AW34" s="344">
        <v>9.9999999983992893E-3</v>
      </c>
      <c r="AX34" s="74">
        <v>0</v>
      </c>
      <c r="AY34" s="69">
        <v>0</v>
      </c>
      <c r="AZ34" s="134"/>
      <c r="BA34" s="70">
        <v>0</v>
      </c>
      <c r="BB34" s="74">
        <v>0</v>
      </c>
      <c r="BC34" s="69">
        <v>0</v>
      </c>
      <c r="BD34" s="134"/>
      <c r="BE34" s="70">
        <v>0</v>
      </c>
      <c r="BF34" s="91"/>
      <c r="BG34" s="91"/>
      <c r="BH34" s="68">
        <f t="shared" si="5"/>
        <v>85039.349999999977</v>
      </c>
      <c r="BI34" s="68">
        <f t="shared" si="6"/>
        <v>85039.349999999977</v>
      </c>
      <c r="BJ34" s="69">
        <f t="shared" si="3"/>
        <v>85039.349999999991</v>
      </c>
      <c r="BK34" s="70">
        <f t="shared" si="4"/>
        <v>63675.249999999993</v>
      </c>
    </row>
    <row r="35" spans="1:63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19318.46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19318.46</v>
      </c>
      <c r="AU35" s="134"/>
      <c r="AV35" s="70">
        <v>0</v>
      </c>
      <c r="AW35" s="344">
        <v>9.9999999983992893E-3</v>
      </c>
      <c r="AX35" s="74">
        <v>0</v>
      </c>
      <c r="AY35" s="69">
        <v>0</v>
      </c>
      <c r="AZ35" s="134"/>
      <c r="BA35" s="70">
        <v>0</v>
      </c>
      <c r="BB35" s="74">
        <v>0</v>
      </c>
      <c r="BC35" s="69">
        <v>0</v>
      </c>
      <c r="BD35" s="134"/>
      <c r="BE35" s="70">
        <v>0</v>
      </c>
      <c r="BF35" s="91"/>
      <c r="BG35" s="91"/>
      <c r="BH35" s="68">
        <f t="shared" si="5"/>
        <v>76896.769999999975</v>
      </c>
      <c r="BI35" s="68">
        <f t="shared" si="6"/>
        <v>76896.769999999975</v>
      </c>
      <c r="BJ35" s="69">
        <f t="shared" si="3"/>
        <v>76896.76999999999</v>
      </c>
      <c r="BK35" s="70">
        <f t="shared" si="4"/>
        <v>57578.30999999999</v>
      </c>
    </row>
    <row r="36" spans="1:63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15454.649999999998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15454.649999999998</v>
      </c>
      <c r="AU36" s="134"/>
      <c r="AV36" s="70">
        <v>0</v>
      </c>
      <c r="AW36" s="344">
        <v>-2.500000000509317E-3</v>
      </c>
      <c r="AX36" s="74">
        <v>0</v>
      </c>
      <c r="AY36" s="69">
        <v>0</v>
      </c>
      <c r="AZ36" s="134"/>
      <c r="BA36" s="70">
        <v>0</v>
      </c>
      <c r="BB36" s="74">
        <v>0</v>
      </c>
      <c r="BC36" s="69">
        <v>0</v>
      </c>
      <c r="BD36" s="134"/>
      <c r="BE36" s="70">
        <v>0</v>
      </c>
      <c r="BF36" s="91"/>
      <c r="BG36" s="91"/>
      <c r="BH36" s="68">
        <f t="shared" si="5"/>
        <v>61516.909999999982</v>
      </c>
      <c r="BI36" s="68">
        <f t="shared" si="6"/>
        <v>61516.909999999982</v>
      </c>
      <c r="BJ36" s="69">
        <f t="shared" si="3"/>
        <v>61516.909999999989</v>
      </c>
      <c r="BK36" s="70">
        <f t="shared" si="4"/>
        <v>46062.259999999995</v>
      </c>
    </row>
    <row r="37" spans="1:63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344">
        <v>0</v>
      </c>
      <c r="AX37" s="74">
        <v>0</v>
      </c>
      <c r="AY37" s="69">
        <v>0</v>
      </c>
      <c r="AZ37" s="134"/>
      <c r="BA37" s="70">
        <v>0</v>
      </c>
      <c r="BB37" s="74">
        <v>0</v>
      </c>
      <c r="BC37" s="69">
        <v>0</v>
      </c>
      <c r="BD37" s="134"/>
      <c r="BE37" s="70">
        <v>0</v>
      </c>
      <c r="BF37" s="91"/>
      <c r="BG37" s="91"/>
      <c r="BH37" s="68">
        <f t="shared" si="5"/>
        <v>0</v>
      </c>
      <c r="BI37" s="68">
        <f t="shared" si="6"/>
        <v>0</v>
      </c>
      <c r="BJ37" s="69">
        <f t="shared" si="3"/>
        <v>0</v>
      </c>
      <c r="BK37" s="70">
        <f t="shared" si="4"/>
        <v>0</v>
      </c>
    </row>
    <row r="38" spans="1:63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-39434.31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-20834.03</v>
      </c>
      <c r="AU38" s="135"/>
      <c r="AV38" s="55">
        <v>0</v>
      </c>
      <c r="AW38" s="340">
        <v>-20834.03</v>
      </c>
      <c r="AX38" s="76">
        <v>0</v>
      </c>
      <c r="AY38" s="49">
        <v>0</v>
      </c>
      <c r="AZ38" s="135"/>
      <c r="BA38" s="55">
        <v>0</v>
      </c>
      <c r="BB38" s="76">
        <v>0</v>
      </c>
      <c r="BC38" s="49">
        <v>0</v>
      </c>
      <c r="BD38" s="135"/>
      <c r="BE38" s="55">
        <v>0</v>
      </c>
      <c r="BF38" s="96">
        <v>0</v>
      </c>
      <c r="BG38" s="92">
        <v>0</v>
      </c>
      <c r="BH38" s="54">
        <f t="shared" ref="BH38:BK38" si="7">SUM(BH39)</f>
        <v>-67027.88</v>
      </c>
      <c r="BI38" s="54">
        <f t="shared" si="7"/>
        <v>-67027.88</v>
      </c>
      <c r="BJ38" s="49">
        <f t="shared" si="7"/>
        <v>-67027.88</v>
      </c>
      <c r="BK38" s="55">
        <f t="shared" si="7"/>
        <v>-46193.85</v>
      </c>
    </row>
    <row r="39" spans="1:63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-39434.31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-20834.03</v>
      </c>
      <c r="AU39" s="134"/>
      <c r="AV39" s="70">
        <v>0</v>
      </c>
      <c r="AW39" s="464">
        <v>-20834.03</v>
      </c>
      <c r="AX39" s="74">
        <v>0</v>
      </c>
      <c r="AY39" s="69">
        <v>0</v>
      </c>
      <c r="AZ39" s="134"/>
      <c r="BA39" s="70">
        <v>0</v>
      </c>
      <c r="BB39" s="74">
        <v>0</v>
      </c>
      <c r="BC39" s="69">
        <v>0</v>
      </c>
      <c r="BD39" s="134"/>
      <c r="BE39" s="70">
        <v>0</v>
      </c>
      <c r="BF39" s="91"/>
      <c r="BG39" s="91"/>
      <c r="BH39" s="68">
        <f t="shared" si="5"/>
        <v>-67027.88</v>
      </c>
      <c r="BI39" s="68">
        <f t="shared" si="6"/>
        <v>-67027.88</v>
      </c>
      <c r="BJ39" s="69">
        <f>G39+K39+O39+T39+X39+AC39+AG39+AL39+AP39+AT39+AY39+BC39+BF39</f>
        <v>-67027.88</v>
      </c>
      <c r="BK39" s="70">
        <f>I39+M39+Q39+V39+Z39+AE39+AI39+AN39+AR39+AV39+BA39+BE39+BG39</f>
        <v>-46193.85</v>
      </c>
    </row>
    <row r="40" spans="1:63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14072.42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14072.42</v>
      </c>
      <c r="AW40" s="340">
        <v>1623.7399999999993</v>
      </c>
      <c r="AX40" s="76">
        <v>435384.94</v>
      </c>
      <c r="AY40" s="515">
        <v>0</v>
      </c>
      <c r="AZ40" s="76">
        <v>0</v>
      </c>
      <c r="BA40" s="516">
        <v>0</v>
      </c>
      <c r="BB40" s="76">
        <v>0</v>
      </c>
      <c r="BC40" s="49">
        <v>0</v>
      </c>
      <c r="BD40" s="135">
        <v>0</v>
      </c>
      <c r="BE40" s="55">
        <v>0</v>
      </c>
      <c r="BF40" s="96">
        <v>0</v>
      </c>
      <c r="BG40" s="92">
        <v>0</v>
      </c>
      <c r="BH40" s="54">
        <f t="shared" ref="BH40:BK40" si="8">SUM(BH41:BH43)</f>
        <v>476323.43</v>
      </c>
      <c r="BI40" s="54">
        <f t="shared" si="8"/>
        <v>41209.1</v>
      </c>
      <c r="BJ40" s="49">
        <f t="shared" si="8"/>
        <v>41209.1</v>
      </c>
      <c r="BK40" s="55">
        <f t="shared" si="8"/>
        <v>41209.1</v>
      </c>
    </row>
    <row r="41" spans="1:63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11727.07</v>
      </c>
      <c r="AQ41" s="134"/>
      <c r="AR41" s="70">
        <v>0</v>
      </c>
      <c r="AS41" s="74">
        <v>0</v>
      </c>
      <c r="AT41" s="69">
        <v>0</v>
      </c>
      <c r="AU41" s="134"/>
      <c r="AV41" s="70">
        <v>11727.07</v>
      </c>
      <c r="AW41" s="344">
        <v>1353.1299999999992</v>
      </c>
      <c r="AX41" s="453">
        <v>292060.81</v>
      </c>
      <c r="AY41" s="69">
        <v>0</v>
      </c>
      <c r="AZ41" s="134"/>
      <c r="BA41" s="70">
        <v>0</v>
      </c>
      <c r="BB41" s="453">
        <v>0</v>
      </c>
      <c r="BC41" s="69">
        <v>0</v>
      </c>
      <c r="BD41" s="134"/>
      <c r="BE41" s="70">
        <v>0</v>
      </c>
      <c r="BF41" s="91">
        <v>0</v>
      </c>
      <c r="BG41" s="91">
        <v>0</v>
      </c>
      <c r="BH41" s="68">
        <f t="shared" si="5"/>
        <v>326401.88</v>
      </c>
      <c r="BI41" s="68">
        <f t="shared" si="6"/>
        <v>34341.07</v>
      </c>
      <c r="BJ41" s="69">
        <f>G41+K41+O41+T41+X41+AC41+AG41+AL41+AP41+AT41+AY41+BC41+BF41</f>
        <v>34341.07</v>
      </c>
      <c r="BK41" s="70">
        <f>I41+M41+Q41+V41+Z41+AE41+AI41+AN41+AR41+AV41+BA41+BE41+BG41</f>
        <v>34341.07</v>
      </c>
    </row>
    <row r="42" spans="1:63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2345.35</v>
      </c>
      <c r="AQ42" s="134"/>
      <c r="AR42" s="70">
        <v>0</v>
      </c>
      <c r="AS42" s="74">
        <v>0</v>
      </c>
      <c r="AT42" s="69">
        <v>0</v>
      </c>
      <c r="AU42" s="134"/>
      <c r="AV42" s="70">
        <v>2345.35</v>
      </c>
      <c r="AW42" s="344">
        <v>270.61000000000013</v>
      </c>
      <c r="AX42" s="453">
        <v>143324.13</v>
      </c>
      <c r="AY42" s="69">
        <v>0</v>
      </c>
      <c r="AZ42" s="134"/>
      <c r="BA42" s="70">
        <v>0</v>
      </c>
      <c r="BB42" s="453">
        <v>0</v>
      </c>
      <c r="BC42" s="69">
        <v>0</v>
      </c>
      <c r="BD42" s="134"/>
      <c r="BE42" s="70">
        <v>0</v>
      </c>
      <c r="BF42" s="91">
        <v>0</v>
      </c>
      <c r="BG42" s="91">
        <v>0</v>
      </c>
      <c r="BH42" s="68">
        <f t="shared" ref="BH42:BH43" si="9">(F42+J42+N42+S42+W42+AB42+AF42+AK42+AO42+AS42+AX42+BB42)+R42+AA42+AJ42</f>
        <v>149921.54999999999</v>
      </c>
      <c r="BI42" s="68">
        <f t="shared" si="6"/>
        <v>6868.0300000000007</v>
      </c>
      <c r="BJ42" s="69">
        <f>G42+K42+O42+T42+X42+AC42+AG42+AL42+AP42+AT42+AY42+BC42+BF42</f>
        <v>6868.0300000000007</v>
      </c>
      <c r="BK42" s="70">
        <f>I42+M42+Q42+V42+Z42+AE42+AI42+AN42+AR42+AV42+BA42+BE42+BG42</f>
        <v>6868.0300000000007</v>
      </c>
    </row>
    <row r="43" spans="1:63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344">
        <v>0</v>
      </c>
      <c r="AX43" s="453">
        <v>0</v>
      </c>
      <c r="AY43" s="69">
        <v>0</v>
      </c>
      <c r="AZ43" s="134"/>
      <c r="BA43" s="70">
        <v>0</v>
      </c>
      <c r="BB43" s="453">
        <v>0</v>
      </c>
      <c r="BC43" s="69">
        <v>0</v>
      </c>
      <c r="BD43" s="134"/>
      <c r="BE43" s="70">
        <v>0</v>
      </c>
      <c r="BF43" s="91">
        <v>0</v>
      </c>
      <c r="BG43" s="91">
        <v>0</v>
      </c>
      <c r="BH43" s="68">
        <f t="shared" si="9"/>
        <v>0</v>
      </c>
      <c r="BI43" s="68">
        <f t="shared" si="6"/>
        <v>0</v>
      </c>
      <c r="BJ43" s="69"/>
      <c r="BK43" s="70"/>
    </row>
    <row r="44" spans="1:63" s="9" customFormat="1" ht="15.75" thickBot="1" x14ac:dyDescent="0.3">
      <c r="A44" s="65" t="s">
        <v>218</v>
      </c>
      <c r="B44" s="206"/>
      <c r="C44" s="78">
        <f t="shared" ref="C44:E44" si="10">SUM(C45:C45)</f>
        <v>0</v>
      </c>
      <c r="D44" s="205">
        <f t="shared" si="10"/>
        <v>405463</v>
      </c>
      <c r="E44" s="79">
        <f t="shared" si="10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55488.05</v>
      </c>
      <c r="AM44" s="135">
        <v>0</v>
      </c>
      <c r="AN44" s="55">
        <v>55488.05</v>
      </c>
      <c r="AO44" s="76">
        <v>27835.916666666668</v>
      </c>
      <c r="AP44" s="49">
        <v>25450.83</v>
      </c>
      <c r="AQ44" s="135">
        <v>0</v>
      </c>
      <c r="AR44" s="55">
        <v>25450.83</v>
      </c>
      <c r="AS44" s="76">
        <v>27835.916666666668</v>
      </c>
      <c r="AT44" s="49">
        <v>29281.38</v>
      </c>
      <c r="AU44" s="135">
        <v>0</v>
      </c>
      <c r="AV44" s="55">
        <v>29281.38</v>
      </c>
      <c r="AW44" s="340">
        <v>-1316.0199999999895</v>
      </c>
      <c r="AX44" s="76">
        <v>27835.916666666668</v>
      </c>
      <c r="AY44" s="49">
        <v>0</v>
      </c>
      <c r="AZ44" s="135">
        <v>0</v>
      </c>
      <c r="BA44" s="55">
        <v>0</v>
      </c>
      <c r="BB44" s="76">
        <v>27835.916666666668</v>
      </c>
      <c r="BC44" s="49">
        <v>0</v>
      </c>
      <c r="BD44" s="135">
        <v>0</v>
      </c>
      <c r="BE44" s="55">
        <v>0</v>
      </c>
      <c r="BF44" s="96">
        <v>0</v>
      </c>
      <c r="BG44" s="92">
        <v>0</v>
      </c>
      <c r="BH44" s="54">
        <f t="shared" ref="BH44:BK44" si="11">SUM(BH45:BH45)</f>
        <v>295576.9833333334</v>
      </c>
      <c r="BI44" s="54">
        <f t="shared" si="11"/>
        <v>239905.15000000005</v>
      </c>
      <c r="BJ44" s="49">
        <f t="shared" si="11"/>
        <v>239905.15000000002</v>
      </c>
      <c r="BK44" s="55">
        <f t="shared" si="11"/>
        <v>239905.15000000002</v>
      </c>
    </row>
    <row r="45" spans="1:63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55488.05</v>
      </c>
      <c r="AM45" s="134"/>
      <c r="AN45" s="70">
        <v>55488.05</v>
      </c>
      <c r="AO45" s="74">
        <v>27835.916666666668</v>
      </c>
      <c r="AP45" s="69">
        <v>25450.83</v>
      </c>
      <c r="AQ45" s="134"/>
      <c r="AR45" s="70">
        <v>25450.83</v>
      </c>
      <c r="AS45" s="74">
        <v>27835.916666666668</v>
      </c>
      <c r="AT45" s="69">
        <v>29281.38</v>
      </c>
      <c r="AU45" s="134"/>
      <c r="AV45" s="70">
        <v>29281.38</v>
      </c>
      <c r="AW45" s="344">
        <v>-1316.0199999999895</v>
      </c>
      <c r="AX45" s="74">
        <v>27835.916666666668</v>
      </c>
      <c r="AY45" s="69">
        <v>0</v>
      </c>
      <c r="AZ45" s="134"/>
      <c r="BA45" s="70">
        <v>0</v>
      </c>
      <c r="BB45" s="74">
        <v>27835.916666666668</v>
      </c>
      <c r="BC45" s="69">
        <v>0</v>
      </c>
      <c r="BD45" s="134"/>
      <c r="BE45" s="70">
        <v>0</v>
      </c>
      <c r="BF45" s="91">
        <v>0</v>
      </c>
      <c r="BG45" s="91">
        <v>0</v>
      </c>
      <c r="BH45" s="68">
        <f t="shared" ref="BH45" si="12">(F45+J45+N45+S45+W45+AB45+AF45+AK45+AO45+AS45+AX45+BB45)+R45+AA45+AJ45+AW45</f>
        <v>295576.9833333334</v>
      </c>
      <c r="BI45" s="68">
        <f t="shared" ref="BI45" si="13">SUM(F45+J45+N45+S45+W45+AB45+AF45+AK45+AO45+AS45)+R45+AA45+AJ45+AW45</f>
        <v>239905.15000000005</v>
      </c>
      <c r="BJ45" s="69">
        <f>G45+K45+O45+T45+X45+AC45+AG45+AL45+AP45+AT45+AY45+BC45+BF45</f>
        <v>239905.15000000002</v>
      </c>
      <c r="BK45" s="70">
        <f>I45+M45+Q45+V45+Z45+AE45+AI45+AN45+AR45+AV45+BA45+BE45+BG45</f>
        <v>239905.15000000002</v>
      </c>
    </row>
    <row r="46" spans="1:63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194227</v>
      </c>
      <c r="E46" s="79">
        <f t="shared" ref="E46:Q46" si="14">SUM(E47:E58)</f>
        <v>194227</v>
      </c>
      <c r="F46" s="76">
        <f t="shared" si="14"/>
        <v>0</v>
      </c>
      <c r="G46" s="49">
        <f t="shared" si="14"/>
        <v>0</v>
      </c>
      <c r="H46" s="135">
        <f t="shared" si="14"/>
        <v>0</v>
      </c>
      <c r="I46" s="55">
        <f t="shared" si="14"/>
        <v>0</v>
      </c>
      <c r="J46" s="76">
        <f t="shared" si="14"/>
        <v>0</v>
      </c>
      <c r="K46" s="49">
        <f t="shared" si="14"/>
        <v>0</v>
      </c>
      <c r="L46" s="135">
        <f t="shared" si="14"/>
        <v>0</v>
      </c>
      <c r="M46" s="55">
        <f t="shared" si="14"/>
        <v>0</v>
      </c>
      <c r="N46" s="76">
        <f t="shared" si="14"/>
        <v>0</v>
      </c>
      <c r="O46" s="49">
        <f t="shared" si="14"/>
        <v>0</v>
      </c>
      <c r="P46" s="135">
        <f t="shared" si="14"/>
        <v>0</v>
      </c>
      <c r="Q46" s="55">
        <f t="shared" si="14"/>
        <v>0</v>
      </c>
      <c r="R46" s="344"/>
      <c r="S46" s="76">
        <f t="shared" ref="S46:Z46" si="15">SUM(S47:S58)</f>
        <v>0</v>
      </c>
      <c r="T46" s="49">
        <f t="shared" si="15"/>
        <v>0</v>
      </c>
      <c r="U46" s="135">
        <f t="shared" si="15"/>
        <v>0</v>
      </c>
      <c r="V46" s="55">
        <f t="shared" si="15"/>
        <v>0</v>
      </c>
      <c r="W46" s="76">
        <f t="shared" si="15"/>
        <v>0</v>
      </c>
      <c r="X46" s="49">
        <f t="shared" si="15"/>
        <v>0</v>
      </c>
      <c r="Y46" s="135">
        <f t="shared" si="15"/>
        <v>0</v>
      </c>
      <c r="Z46" s="55">
        <f t="shared" si="15"/>
        <v>0</v>
      </c>
      <c r="AA46" s="344"/>
      <c r="AB46" s="76">
        <f t="shared" ref="AB46:BK46" si="16">SUM(AB47:AB58)</f>
        <v>0</v>
      </c>
      <c r="AC46" s="49">
        <f t="shared" si="16"/>
        <v>0</v>
      </c>
      <c r="AD46" s="135">
        <f t="shared" si="16"/>
        <v>0</v>
      </c>
      <c r="AE46" s="55">
        <f t="shared" si="16"/>
        <v>0</v>
      </c>
      <c r="AF46" s="76">
        <f t="shared" si="16"/>
        <v>0</v>
      </c>
      <c r="AG46" s="49">
        <f t="shared" si="16"/>
        <v>0</v>
      </c>
      <c r="AH46" s="135">
        <f t="shared" si="16"/>
        <v>0</v>
      </c>
      <c r="AI46" s="55">
        <f t="shared" si="16"/>
        <v>0</v>
      </c>
      <c r="AJ46" s="344"/>
      <c r="AK46" s="76">
        <f t="shared" si="16"/>
        <v>0</v>
      </c>
      <c r="AL46" s="49">
        <f t="shared" si="16"/>
        <v>0</v>
      </c>
      <c r="AM46" s="135">
        <f t="shared" si="16"/>
        <v>0</v>
      </c>
      <c r="AN46" s="55">
        <f t="shared" si="16"/>
        <v>0</v>
      </c>
      <c r="AO46" s="76">
        <f t="shared" si="16"/>
        <v>0</v>
      </c>
      <c r="AP46" s="49">
        <f t="shared" si="16"/>
        <v>0</v>
      </c>
      <c r="AQ46" s="135">
        <f t="shared" si="16"/>
        <v>0</v>
      </c>
      <c r="AR46" s="55">
        <f t="shared" si="16"/>
        <v>0</v>
      </c>
      <c r="AS46" s="76">
        <f t="shared" si="16"/>
        <v>0</v>
      </c>
      <c r="AT46" s="49">
        <f t="shared" si="16"/>
        <v>0</v>
      </c>
      <c r="AU46" s="135">
        <f t="shared" si="16"/>
        <v>0</v>
      </c>
      <c r="AV46" s="55">
        <f t="shared" si="16"/>
        <v>0</v>
      </c>
      <c r="AW46" s="344"/>
      <c r="AX46" s="76">
        <f t="shared" si="16"/>
        <v>0</v>
      </c>
      <c r="AY46" s="49">
        <f t="shared" si="16"/>
        <v>0</v>
      </c>
      <c r="AZ46" s="135">
        <f t="shared" si="16"/>
        <v>0</v>
      </c>
      <c r="BA46" s="55">
        <f t="shared" si="16"/>
        <v>0</v>
      </c>
      <c r="BB46" s="76">
        <f t="shared" si="16"/>
        <v>0</v>
      </c>
      <c r="BC46" s="49">
        <f t="shared" si="16"/>
        <v>0</v>
      </c>
      <c r="BD46" s="135">
        <f t="shared" si="16"/>
        <v>0</v>
      </c>
      <c r="BE46" s="55">
        <f t="shared" si="16"/>
        <v>0</v>
      </c>
      <c r="BF46" s="96">
        <f t="shared" si="16"/>
        <v>0</v>
      </c>
      <c r="BG46" s="92">
        <f t="shared" si="16"/>
        <v>0</v>
      </c>
      <c r="BH46" s="54">
        <f t="shared" si="16"/>
        <v>0</v>
      </c>
      <c r="BI46" s="54">
        <f t="shared" si="16"/>
        <v>0</v>
      </c>
      <c r="BJ46" s="49">
        <f t="shared" si="16"/>
        <v>0</v>
      </c>
      <c r="BK46" s="55">
        <f t="shared" si="16"/>
        <v>0</v>
      </c>
    </row>
    <row r="47" spans="1:63" ht="15.75" hidden="1" thickBot="1" x14ac:dyDescent="0.25">
      <c r="A47" s="72" t="s">
        <v>129</v>
      </c>
      <c r="B47" s="204">
        <f>'[1]Oracle Detail'!B94</f>
        <v>1</v>
      </c>
      <c r="C47" s="153">
        <f>'[1]Oracle Detail'!G94</f>
        <v>0</v>
      </c>
      <c r="D47" s="203">
        <f>'[1]Oracle Detail'!H94</f>
        <v>194227</v>
      </c>
      <c r="E47" s="81">
        <f t="shared" ref="E47:E58" si="17">C47+D47</f>
        <v>194227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344"/>
      <c r="AX47" s="453">
        <f>'[1]Oracle Detail'!AY94</f>
        <v>0</v>
      </c>
      <c r="AY47" s="443">
        <f>'[1]Oracle Detail'!AZ94</f>
        <v>0</v>
      </c>
      <c r="AZ47" s="442"/>
      <c r="BA47" s="463">
        <f>'[1]Oracle Detail'!BB94</f>
        <v>0</v>
      </c>
      <c r="BB47" s="453">
        <f>'[1]Oracle Detail'!BC94</f>
        <v>0</v>
      </c>
      <c r="BC47" s="443">
        <f>'[1]Oracle Detail'!BD94</f>
        <v>0</v>
      </c>
      <c r="BD47" s="442"/>
      <c r="BE47" s="463">
        <f>'[1]Oracle Detail'!BF94</f>
        <v>0</v>
      </c>
      <c r="BF47" s="345">
        <v>0</v>
      </c>
      <c r="BG47" s="345">
        <v>0</v>
      </c>
      <c r="BH47" s="68">
        <f t="shared" ref="BH47:BH58" si="18">F47+J47+N47+S47+W47+AB47+AF47+AK47+AO47+AS47+AX47+BB47+BE47</f>
        <v>0</v>
      </c>
      <c r="BI47" s="68">
        <v>0</v>
      </c>
      <c r="BJ47" s="443">
        <f t="shared" ref="BJ47:BJ58" si="19">G47+K47+O47+T47+X47+AC47+AG47+AL47+AP47+AT47+AY47+BC47+BF47</f>
        <v>0</v>
      </c>
      <c r="BK47" s="463">
        <f t="shared" ref="BK47:BK58" si="20">I47+M47+Q47+V47+Z47+AE47+AI47+AN47+AR47+AV47+BA47+BE47+BG47</f>
        <v>0</v>
      </c>
    </row>
    <row r="48" spans="1:63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7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345"/>
      <c r="AX48" s="453">
        <f>'[1]Oracle Detail'!AY95</f>
        <v>0</v>
      </c>
      <c r="AY48" s="443">
        <f>'[1]Oracle Detail'!AZ95</f>
        <v>0</v>
      </c>
      <c r="AZ48" s="442"/>
      <c r="BA48" s="463">
        <f>'[1]Oracle Detail'!BB95</f>
        <v>0</v>
      </c>
      <c r="BB48" s="453">
        <f>'[1]Oracle Detail'!BC95</f>
        <v>0</v>
      </c>
      <c r="BC48" s="443">
        <f>'[1]Oracle Detail'!BD95</f>
        <v>0</v>
      </c>
      <c r="BD48" s="442"/>
      <c r="BE48" s="463">
        <f>'[1]Oracle Detail'!BF95</f>
        <v>0</v>
      </c>
      <c r="BF48" s="345">
        <v>0</v>
      </c>
      <c r="BG48" s="345">
        <v>0</v>
      </c>
      <c r="BH48" s="68">
        <f t="shared" si="18"/>
        <v>0</v>
      </c>
      <c r="BI48" s="68">
        <v>0</v>
      </c>
      <c r="BJ48" s="443">
        <f t="shared" si="19"/>
        <v>0</v>
      </c>
      <c r="BK48" s="463">
        <f t="shared" si="20"/>
        <v>0</v>
      </c>
    </row>
    <row r="49" spans="1:63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7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345"/>
      <c r="AX49" s="453">
        <f>'[1]Oracle Detail'!AY96</f>
        <v>0</v>
      </c>
      <c r="AY49" s="443">
        <f>'[1]Oracle Detail'!AZ96</f>
        <v>0</v>
      </c>
      <c r="AZ49" s="442"/>
      <c r="BA49" s="463">
        <f>'[1]Oracle Detail'!BB96</f>
        <v>0</v>
      </c>
      <c r="BB49" s="453">
        <f>'[1]Oracle Detail'!BC96</f>
        <v>0</v>
      </c>
      <c r="BC49" s="443">
        <f>'[1]Oracle Detail'!BD96</f>
        <v>0</v>
      </c>
      <c r="BD49" s="442"/>
      <c r="BE49" s="463">
        <f>'[1]Oracle Detail'!BF96</f>
        <v>0</v>
      </c>
      <c r="BF49" s="345">
        <v>0</v>
      </c>
      <c r="BG49" s="345">
        <v>0</v>
      </c>
      <c r="BH49" s="68">
        <f t="shared" si="18"/>
        <v>0</v>
      </c>
      <c r="BI49" s="68">
        <v>0</v>
      </c>
      <c r="BJ49" s="443">
        <f t="shared" si="19"/>
        <v>0</v>
      </c>
      <c r="BK49" s="463">
        <f t="shared" si="20"/>
        <v>0</v>
      </c>
    </row>
    <row r="50" spans="1:63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7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345"/>
      <c r="AX50" s="453">
        <f>'[1]Oracle Detail'!AY97</f>
        <v>0</v>
      </c>
      <c r="AY50" s="443">
        <f>'[1]Oracle Detail'!AZ97</f>
        <v>0</v>
      </c>
      <c r="AZ50" s="442"/>
      <c r="BA50" s="463">
        <f>'[1]Oracle Detail'!BB97</f>
        <v>0</v>
      </c>
      <c r="BB50" s="453">
        <f>'[1]Oracle Detail'!BC97</f>
        <v>0</v>
      </c>
      <c r="BC50" s="443">
        <f>'[1]Oracle Detail'!BD97</f>
        <v>0</v>
      </c>
      <c r="BD50" s="442"/>
      <c r="BE50" s="463">
        <f>'[1]Oracle Detail'!BF97</f>
        <v>0</v>
      </c>
      <c r="BF50" s="345">
        <v>0</v>
      </c>
      <c r="BG50" s="345">
        <v>0</v>
      </c>
      <c r="BH50" s="68">
        <f t="shared" si="18"/>
        <v>0</v>
      </c>
      <c r="BI50" s="68">
        <v>0</v>
      </c>
      <c r="BJ50" s="443">
        <f t="shared" si="19"/>
        <v>0</v>
      </c>
      <c r="BK50" s="463">
        <f t="shared" si="20"/>
        <v>0</v>
      </c>
    </row>
    <row r="51" spans="1:63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7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345"/>
      <c r="AX51" s="453">
        <f>'[1]Oracle Detail'!AY98</f>
        <v>0</v>
      </c>
      <c r="AY51" s="443">
        <f>'[1]Oracle Detail'!AZ98</f>
        <v>0</v>
      </c>
      <c r="AZ51" s="442"/>
      <c r="BA51" s="463">
        <f>'[1]Oracle Detail'!BB98</f>
        <v>0</v>
      </c>
      <c r="BB51" s="453">
        <f>'[1]Oracle Detail'!BC98</f>
        <v>0</v>
      </c>
      <c r="BC51" s="443">
        <f>'[1]Oracle Detail'!BD98</f>
        <v>0</v>
      </c>
      <c r="BD51" s="442"/>
      <c r="BE51" s="463">
        <f>'[1]Oracle Detail'!BF98</f>
        <v>0</v>
      </c>
      <c r="BF51" s="345">
        <v>0</v>
      </c>
      <c r="BG51" s="345">
        <v>0</v>
      </c>
      <c r="BH51" s="68">
        <f t="shared" si="18"/>
        <v>0</v>
      </c>
      <c r="BI51" s="68">
        <v>0</v>
      </c>
      <c r="BJ51" s="443">
        <f t="shared" si="19"/>
        <v>0</v>
      </c>
      <c r="BK51" s="463">
        <f t="shared" si="20"/>
        <v>0</v>
      </c>
    </row>
    <row r="52" spans="1:63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7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345"/>
      <c r="AX52" s="453">
        <f>'[1]Oracle Detail'!AY99</f>
        <v>0</v>
      </c>
      <c r="AY52" s="443">
        <f>'[1]Oracle Detail'!AZ99</f>
        <v>0</v>
      </c>
      <c r="AZ52" s="442"/>
      <c r="BA52" s="463">
        <f>'[1]Oracle Detail'!BB99</f>
        <v>0</v>
      </c>
      <c r="BB52" s="453">
        <f>'[1]Oracle Detail'!BC99</f>
        <v>0</v>
      </c>
      <c r="BC52" s="443">
        <f>'[1]Oracle Detail'!BD99</f>
        <v>0</v>
      </c>
      <c r="BD52" s="442"/>
      <c r="BE52" s="463">
        <f>'[1]Oracle Detail'!BF99</f>
        <v>0</v>
      </c>
      <c r="BF52" s="345">
        <v>0</v>
      </c>
      <c r="BG52" s="345">
        <v>0</v>
      </c>
      <c r="BH52" s="68">
        <f t="shared" si="18"/>
        <v>0</v>
      </c>
      <c r="BI52" s="68">
        <v>0</v>
      </c>
      <c r="BJ52" s="443">
        <f t="shared" si="19"/>
        <v>0</v>
      </c>
      <c r="BK52" s="463">
        <f t="shared" si="20"/>
        <v>0</v>
      </c>
    </row>
    <row r="53" spans="1:63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7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345"/>
      <c r="AX53" s="453">
        <f>'[1]Oracle Detail'!AY100</f>
        <v>0</v>
      </c>
      <c r="AY53" s="443">
        <f>'[1]Oracle Detail'!AZ100</f>
        <v>0</v>
      </c>
      <c r="AZ53" s="442"/>
      <c r="BA53" s="463">
        <f>'[1]Oracle Detail'!BB100</f>
        <v>0</v>
      </c>
      <c r="BB53" s="453">
        <f>'[1]Oracle Detail'!BC100</f>
        <v>0</v>
      </c>
      <c r="BC53" s="443">
        <f>'[1]Oracle Detail'!BD100</f>
        <v>0</v>
      </c>
      <c r="BD53" s="442"/>
      <c r="BE53" s="463">
        <f>'[1]Oracle Detail'!BF100</f>
        <v>0</v>
      </c>
      <c r="BF53" s="345">
        <v>0</v>
      </c>
      <c r="BG53" s="345">
        <v>0</v>
      </c>
      <c r="BH53" s="68">
        <f t="shared" si="18"/>
        <v>0</v>
      </c>
      <c r="BI53" s="68">
        <v>0</v>
      </c>
      <c r="BJ53" s="443">
        <f t="shared" si="19"/>
        <v>0</v>
      </c>
      <c r="BK53" s="463">
        <f t="shared" si="20"/>
        <v>0</v>
      </c>
    </row>
    <row r="54" spans="1:63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7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345"/>
      <c r="AX54" s="453">
        <f>'[1]Oracle Detail'!AY101</f>
        <v>0</v>
      </c>
      <c r="AY54" s="443">
        <f>'[1]Oracle Detail'!AZ101</f>
        <v>0</v>
      </c>
      <c r="AZ54" s="442"/>
      <c r="BA54" s="463">
        <f>'[1]Oracle Detail'!BB101</f>
        <v>0</v>
      </c>
      <c r="BB54" s="453">
        <f>'[1]Oracle Detail'!BC101</f>
        <v>0</v>
      </c>
      <c r="BC54" s="443">
        <f>'[1]Oracle Detail'!BD101</f>
        <v>0</v>
      </c>
      <c r="BD54" s="442"/>
      <c r="BE54" s="463">
        <f>'[1]Oracle Detail'!BF101</f>
        <v>0</v>
      </c>
      <c r="BF54" s="345">
        <v>0</v>
      </c>
      <c r="BG54" s="345">
        <v>0</v>
      </c>
      <c r="BH54" s="68">
        <f t="shared" si="18"/>
        <v>0</v>
      </c>
      <c r="BI54" s="68">
        <v>0</v>
      </c>
      <c r="BJ54" s="443">
        <f t="shared" si="19"/>
        <v>0</v>
      </c>
      <c r="BK54" s="463">
        <f t="shared" si="20"/>
        <v>0</v>
      </c>
    </row>
    <row r="55" spans="1:63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7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345"/>
      <c r="AX55" s="453">
        <f>'[1]Oracle Detail'!AY102</f>
        <v>0</v>
      </c>
      <c r="AY55" s="443">
        <f>'[1]Oracle Detail'!AZ102</f>
        <v>0</v>
      </c>
      <c r="AZ55" s="442"/>
      <c r="BA55" s="463">
        <f>'[1]Oracle Detail'!BB102</f>
        <v>0</v>
      </c>
      <c r="BB55" s="453">
        <f>'[1]Oracle Detail'!BC102</f>
        <v>0</v>
      </c>
      <c r="BC55" s="443">
        <f>'[1]Oracle Detail'!BD102</f>
        <v>0</v>
      </c>
      <c r="BD55" s="442"/>
      <c r="BE55" s="463">
        <f>'[1]Oracle Detail'!BF102</f>
        <v>0</v>
      </c>
      <c r="BF55" s="345">
        <v>0</v>
      </c>
      <c r="BG55" s="345">
        <v>0</v>
      </c>
      <c r="BH55" s="68">
        <f t="shared" si="18"/>
        <v>0</v>
      </c>
      <c r="BI55" s="68">
        <v>0</v>
      </c>
      <c r="BJ55" s="443">
        <f t="shared" si="19"/>
        <v>0</v>
      </c>
      <c r="BK55" s="463">
        <f t="shared" si="20"/>
        <v>0</v>
      </c>
    </row>
    <row r="56" spans="1:63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7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345"/>
      <c r="AX56" s="453">
        <f>'[1]Oracle Detail'!AY103</f>
        <v>0</v>
      </c>
      <c r="AY56" s="443">
        <f>'[1]Oracle Detail'!AZ103</f>
        <v>0</v>
      </c>
      <c r="AZ56" s="442"/>
      <c r="BA56" s="463">
        <f>'[1]Oracle Detail'!BB103</f>
        <v>0</v>
      </c>
      <c r="BB56" s="453">
        <f>'[1]Oracle Detail'!BC103</f>
        <v>0</v>
      </c>
      <c r="BC56" s="443">
        <f>'[1]Oracle Detail'!BD103</f>
        <v>0</v>
      </c>
      <c r="BD56" s="442"/>
      <c r="BE56" s="463">
        <f>'[1]Oracle Detail'!BF103</f>
        <v>0</v>
      </c>
      <c r="BF56" s="345">
        <v>0</v>
      </c>
      <c r="BG56" s="345">
        <v>0</v>
      </c>
      <c r="BH56" s="68">
        <f t="shared" si="18"/>
        <v>0</v>
      </c>
      <c r="BI56" s="68">
        <v>0</v>
      </c>
      <c r="BJ56" s="443">
        <f t="shared" si="19"/>
        <v>0</v>
      </c>
      <c r="BK56" s="463">
        <f t="shared" si="20"/>
        <v>0</v>
      </c>
    </row>
    <row r="57" spans="1:63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7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345"/>
      <c r="AX57" s="453">
        <f>'[1]Oracle Detail'!AY104</f>
        <v>0</v>
      </c>
      <c r="AY57" s="443">
        <f>'[1]Oracle Detail'!AZ104</f>
        <v>0</v>
      </c>
      <c r="AZ57" s="442"/>
      <c r="BA57" s="463">
        <f>'[1]Oracle Detail'!BB104</f>
        <v>0</v>
      </c>
      <c r="BB57" s="453">
        <f>'[1]Oracle Detail'!BC104</f>
        <v>0</v>
      </c>
      <c r="BC57" s="443">
        <f>'[1]Oracle Detail'!BD104</f>
        <v>0</v>
      </c>
      <c r="BD57" s="442"/>
      <c r="BE57" s="463">
        <f>'[1]Oracle Detail'!BF104</f>
        <v>0</v>
      </c>
      <c r="BF57" s="345">
        <v>0</v>
      </c>
      <c r="BG57" s="345">
        <v>0</v>
      </c>
      <c r="BH57" s="68">
        <f t="shared" si="18"/>
        <v>0</v>
      </c>
      <c r="BI57" s="68">
        <v>0</v>
      </c>
      <c r="BJ57" s="443">
        <f t="shared" si="19"/>
        <v>0</v>
      </c>
      <c r="BK57" s="463">
        <f t="shared" si="20"/>
        <v>0</v>
      </c>
    </row>
    <row r="58" spans="1:63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7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345"/>
      <c r="AX58" s="453">
        <v>0</v>
      </c>
      <c r="AY58" s="443">
        <v>0</v>
      </c>
      <c r="AZ58" s="442"/>
      <c r="BA58" s="463">
        <v>0</v>
      </c>
      <c r="BB58" s="453">
        <f>$C58/4</f>
        <v>0</v>
      </c>
      <c r="BC58" s="443">
        <v>0</v>
      </c>
      <c r="BD58" s="442"/>
      <c r="BE58" s="463">
        <v>0</v>
      </c>
      <c r="BF58" s="345">
        <v>0</v>
      </c>
      <c r="BG58" s="345">
        <v>0</v>
      </c>
      <c r="BH58" s="68">
        <f t="shared" si="18"/>
        <v>0</v>
      </c>
      <c r="BI58" s="68">
        <v>0</v>
      </c>
      <c r="BJ58" s="443">
        <f t="shared" si="19"/>
        <v>0</v>
      </c>
      <c r="BK58" s="463">
        <f t="shared" si="20"/>
        <v>0</v>
      </c>
    </row>
    <row r="59" spans="1:63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599690</v>
      </c>
      <c r="E59" s="201">
        <f>SUM(E11,E40,E44,E46)</f>
        <v>2068999.5824417605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56705.270000000004</v>
      </c>
      <c r="AM59" s="460" t="e">
        <f>SUM(AM12,#REF!,AM44,AM46)</f>
        <v>#REF!</v>
      </c>
      <c r="AN59" s="459">
        <f>SUM(AN11,AN40,AN44,AN46,AN38)</f>
        <v>369541.51</v>
      </c>
      <c r="AO59" s="462">
        <f>SUM(AO11,AO40,AO44,AO46,AO38)</f>
        <v>27835.916666666668</v>
      </c>
      <c r="AP59" s="461">
        <f>SUM(AP11,AP40,AP44,AP46,AP38)</f>
        <v>39523.25</v>
      </c>
      <c r="AQ59" s="460" t="e">
        <f>SUM(AQ12,#REF!,AQ44,AQ46)</f>
        <v>#REF!</v>
      </c>
      <c r="AR59" s="459">
        <f>SUM(AR11,AR40,AR44,AR46,AR38)</f>
        <v>25450.83</v>
      </c>
      <c r="AS59" s="462">
        <f>SUM(AS11,AS40,AS44,AS46,AS38)</f>
        <v>380106.38435710676</v>
      </c>
      <c r="AT59" s="461">
        <f>SUM(AT11,AT40,AT44,AT46,AT38)</f>
        <v>360717.9</v>
      </c>
      <c r="AU59" s="460" t="e">
        <f>SUM(AU12,#REF!,AU44,AU46)</f>
        <v>#REF!</v>
      </c>
      <c r="AV59" s="459">
        <f>SUM(AV11,AV40,AV44,AV46,AV38)</f>
        <v>43353.8</v>
      </c>
      <c r="AW59" s="340">
        <f>SUM(AW11,AW40,AW44,AW46,AW38)</f>
        <v>-20526.227690440024</v>
      </c>
      <c r="AX59" s="462">
        <f>SUM(AX11,AX40,AX44,AX46,AX38)</f>
        <v>464438.07666666666</v>
      </c>
      <c r="AY59" s="461">
        <f>SUM(AY11,AY40,AY44,AY46,AY38)</f>
        <v>0</v>
      </c>
      <c r="AZ59" s="460" t="e">
        <f>SUM(AZ12,#REF!,AZ44,AZ46)</f>
        <v>#REF!</v>
      </c>
      <c r="BA59" s="459">
        <f>SUM(BA11,BA40,BA44,BA46,BA38)</f>
        <v>0</v>
      </c>
      <c r="BB59" s="462">
        <f>SUM(BB11,BB40,BB44,BB46,BB38)</f>
        <v>27835.916666666668</v>
      </c>
      <c r="BC59" s="461">
        <f>SUM(BC11,BC40,BC44,BC46,BC38)</f>
        <v>0</v>
      </c>
      <c r="BD59" s="460" t="e">
        <f>SUM(BD12,#REF!,BD44,BD46)</f>
        <v>#REF!</v>
      </c>
      <c r="BE59" s="459">
        <f>SUM(BE11,BE40,BE44,BE46,BE38)</f>
        <v>0</v>
      </c>
      <c r="BF59" s="458">
        <f>SUM(BF11,BF40,BF44)</f>
        <v>0</v>
      </c>
      <c r="BG59" s="457">
        <f>SUM(BG11,BG40,BG44)</f>
        <v>0</v>
      </c>
      <c r="BH59" s="456">
        <f>SUM(BH12,BH40,BH44,BH46,BH38)</f>
        <v>2111937.0233333334</v>
      </c>
      <c r="BI59" s="456">
        <f>SUM(BI12,BI44,BI40,BI38)</f>
        <v>1619933.6400000006</v>
      </c>
      <c r="BJ59" s="455">
        <f>SUM(BJ12,BJ44,BJ40,BJ38)</f>
        <v>1619933.6400000001</v>
      </c>
      <c r="BK59" s="454">
        <f>SUM(BK12,BK44,BK40,BK38)</f>
        <v>1288497.1200000001</v>
      </c>
    </row>
    <row r="60" spans="1:63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347">
        <f>AS60+AW59</f>
        <v>1619933.6400000001</v>
      </c>
      <c r="AX60" s="452">
        <f>AW60+AX59</f>
        <v>2084371.7166666668</v>
      </c>
      <c r="AY60" s="451"/>
      <c r="AZ60" s="446"/>
      <c r="BA60" s="441"/>
      <c r="BB60" s="452">
        <f>AX60+BB59</f>
        <v>2112207.6333333333</v>
      </c>
      <c r="BC60" s="451"/>
      <c r="BD60" s="446"/>
      <c r="BE60" s="441"/>
      <c r="BF60" s="440"/>
      <c r="BG60" s="440"/>
      <c r="BH60" s="428"/>
      <c r="BI60" s="428"/>
      <c r="BJ60" s="428"/>
      <c r="BK60" s="428"/>
    </row>
    <row r="61" spans="1:63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1219692.49</v>
      </c>
      <c r="AM61" s="442"/>
      <c r="AN61" s="441"/>
      <c r="AO61" s="444"/>
      <c r="AP61" s="443">
        <f>AL61+AP59</f>
        <v>1259215.74</v>
      </c>
      <c r="AQ61" s="442"/>
      <c r="AR61" s="441"/>
      <c r="AS61" s="444"/>
      <c r="AT61" s="443">
        <f>AP61+AT59</f>
        <v>1619933.6400000001</v>
      </c>
      <c r="AU61" s="442"/>
      <c r="AV61" s="441"/>
      <c r="AW61" s="346"/>
      <c r="AX61" s="444"/>
      <c r="AY61" s="443">
        <f>AT61+AY59</f>
        <v>1619933.6400000001</v>
      </c>
      <c r="AZ61" s="442"/>
      <c r="BA61" s="441"/>
      <c r="BB61" s="444"/>
      <c r="BC61" s="443">
        <f>AY61+BC59</f>
        <v>1619933.6400000001</v>
      </c>
      <c r="BD61" s="442"/>
      <c r="BE61" s="441"/>
      <c r="BF61" s="440"/>
      <c r="BG61" s="440"/>
      <c r="BH61" s="428"/>
      <c r="BI61" s="428"/>
      <c r="BJ61" s="428"/>
      <c r="BK61" s="428"/>
    </row>
    <row r="62" spans="1:63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1219692.4900000002</v>
      </c>
      <c r="AO62" s="432"/>
      <c r="AP62" s="431"/>
      <c r="AQ62" s="430"/>
      <c r="AR62" s="429">
        <f>AN62+AR59</f>
        <v>1245143.3200000003</v>
      </c>
      <c r="AS62" s="432"/>
      <c r="AT62" s="431"/>
      <c r="AU62" s="430"/>
      <c r="AV62" s="429">
        <f>AR62+AV59</f>
        <v>1288497.1200000003</v>
      </c>
      <c r="AW62" s="347"/>
      <c r="AX62" s="432"/>
      <c r="AY62" s="431"/>
      <c r="AZ62" s="430"/>
      <c r="BA62" s="429">
        <f>AV62+BA59</f>
        <v>1288497.1200000003</v>
      </c>
      <c r="BB62" s="432"/>
      <c r="BC62" s="431"/>
      <c r="BD62" s="430"/>
      <c r="BE62" s="429">
        <f>BA62+BE59</f>
        <v>1288497.1200000003</v>
      </c>
      <c r="BF62" s="428"/>
      <c r="BG62" s="428"/>
      <c r="BH62" s="428"/>
      <c r="BI62" s="428"/>
      <c r="BJ62" s="428"/>
      <c r="BK62" s="428"/>
    </row>
    <row r="63" spans="1:63" x14ac:dyDescent="0.2">
      <c r="I63" s="427"/>
      <c r="J63" s="427"/>
    </row>
  </sheetData>
  <mergeCells count="20">
    <mergeCell ref="BB9:BE9"/>
    <mergeCell ref="BF9:BG9"/>
    <mergeCell ref="BH9:BK9"/>
    <mergeCell ref="AF9:AI9"/>
    <mergeCell ref="AK9:AN9"/>
    <mergeCell ref="AO9:AR9"/>
    <mergeCell ref="AS9:AV9"/>
    <mergeCell ref="AX9:BA9"/>
    <mergeCell ref="AJ9:AJ10"/>
    <mergeCell ref="AW9:AW10"/>
    <mergeCell ref="R9:R10"/>
    <mergeCell ref="S9:V9"/>
    <mergeCell ref="W9:Z9"/>
    <mergeCell ref="AA9:AA10"/>
    <mergeCell ref="AB9:AE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I22"/>
  <sheetViews>
    <sheetView zoomScale="80" zoomScaleNormal="80" workbookViewId="0">
      <pane xSplit="4" topLeftCell="AR1" activePane="topRight" state="frozen"/>
      <selection pane="topRight" activeCell="BH30" sqref="BH30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8" width="14" customWidth="1"/>
    <col min="49" max="49" width="16.140625" bestFit="1" customWidth="1"/>
    <col min="50" max="50" width="14" customWidth="1"/>
    <col min="51" max="51" width="4.85546875" hidden="1" customWidth="1"/>
    <col min="52" max="52" width="14" customWidth="1"/>
    <col min="53" max="53" width="15" bestFit="1" customWidth="1"/>
    <col min="54" max="54" width="14" customWidth="1"/>
    <col min="55" max="55" width="4.85546875" hidden="1" customWidth="1"/>
    <col min="56" max="58" width="14" customWidth="1"/>
    <col min="59" max="59" width="15.85546875" bestFit="1" customWidth="1"/>
    <col min="60" max="61" width="14" customWidth="1"/>
  </cols>
  <sheetData>
    <row r="6" spans="1:61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1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1" ht="15.75" thickBot="1" x14ac:dyDescent="0.3"/>
    <row r="9" spans="1:61" ht="15.75" customHeight="1" thickBot="1" x14ac:dyDescent="0.3">
      <c r="A9" s="322"/>
      <c r="B9" s="321"/>
      <c r="C9" s="321"/>
      <c r="D9" s="89"/>
      <c r="E9" s="650" t="s">
        <v>143</v>
      </c>
      <c r="F9" s="651"/>
      <c r="G9" s="651"/>
      <c r="H9" s="652"/>
      <c r="I9" s="647" t="s">
        <v>144</v>
      </c>
      <c r="J9" s="648"/>
      <c r="K9" s="648"/>
      <c r="L9" s="649"/>
      <c r="M9" s="650" t="s">
        <v>145</v>
      </c>
      <c r="N9" s="651"/>
      <c r="O9" s="651"/>
      <c r="P9" s="652"/>
      <c r="Q9" s="653" t="s">
        <v>219</v>
      </c>
      <c r="R9" s="647" t="s">
        <v>146</v>
      </c>
      <c r="S9" s="648"/>
      <c r="T9" s="648"/>
      <c r="U9" s="649"/>
      <c r="V9" s="650" t="s">
        <v>147</v>
      </c>
      <c r="W9" s="651"/>
      <c r="X9" s="651"/>
      <c r="Y9" s="652"/>
      <c r="Z9" s="653" t="s">
        <v>232</v>
      </c>
      <c r="AA9" s="647" t="s">
        <v>148</v>
      </c>
      <c r="AB9" s="648"/>
      <c r="AC9" s="648"/>
      <c r="AD9" s="649"/>
      <c r="AE9" s="650" t="s">
        <v>149</v>
      </c>
      <c r="AF9" s="651"/>
      <c r="AG9" s="651"/>
      <c r="AH9" s="652"/>
      <c r="AI9" s="653" t="s">
        <v>234</v>
      </c>
      <c r="AJ9" s="647" t="s">
        <v>150</v>
      </c>
      <c r="AK9" s="648"/>
      <c r="AL9" s="648"/>
      <c r="AM9" s="649"/>
      <c r="AN9" s="650" t="s">
        <v>151</v>
      </c>
      <c r="AO9" s="651"/>
      <c r="AP9" s="651"/>
      <c r="AQ9" s="652"/>
      <c r="AR9" s="647" t="s">
        <v>152</v>
      </c>
      <c r="AS9" s="648"/>
      <c r="AT9" s="648"/>
      <c r="AU9" s="649"/>
      <c r="AV9" s="653" t="s">
        <v>235</v>
      </c>
      <c r="AW9" s="650" t="s">
        <v>153</v>
      </c>
      <c r="AX9" s="651"/>
      <c r="AY9" s="651"/>
      <c r="AZ9" s="652"/>
      <c r="BA9" s="647" t="s">
        <v>154</v>
      </c>
      <c r="BB9" s="648"/>
      <c r="BC9" s="648"/>
      <c r="BD9" s="649"/>
      <c r="BE9" s="647" t="s">
        <v>156</v>
      </c>
      <c r="BF9" s="649"/>
      <c r="BG9" s="650" t="s">
        <v>37</v>
      </c>
      <c r="BH9" s="651"/>
      <c r="BI9" s="652"/>
    </row>
    <row r="10" spans="1:61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54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54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54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654"/>
      <c r="AW10" s="313" t="s">
        <v>19</v>
      </c>
      <c r="AX10" s="316" t="s">
        <v>35</v>
      </c>
      <c r="AY10" s="312"/>
      <c r="AZ10" s="311" t="s">
        <v>36</v>
      </c>
      <c r="BA10" s="313" t="s">
        <v>19</v>
      </c>
      <c r="BB10" s="316" t="s">
        <v>35</v>
      </c>
      <c r="BC10" s="312"/>
      <c r="BD10" s="311" t="s">
        <v>36</v>
      </c>
      <c r="BE10" s="315" t="s">
        <v>35</v>
      </c>
      <c r="BF10" s="314" t="s">
        <v>36</v>
      </c>
      <c r="BG10" s="313" t="s">
        <v>88</v>
      </c>
      <c r="BH10" s="312" t="s">
        <v>126</v>
      </c>
      <c r="BI10" s="311" t="s">
        <v>110</v>
      </c>
    </row>
    <row r="11" spans="1:61" x14ac:dyDescent="0.25">
      <c r="A11" s="310" t="s">
        <v>198</v>
      </c>
      <c r="B11" s="309"/>
      <c r="C11" s="308"/>
      <c r="D11" s="307">
        <f>SUM(D12:D17)</f>
        <v>2053839.9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7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59520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506292</v>
      </c>
      <c r="AT11" s="306"/>
      <c r="AU11" s="303">
        <f>SUM(AU12:AU17)</f>
        <v>0</v>
      </c>
      <c r="AV11" s="350">
        <f>SUM(AV12:AV17)</f>
        <v>-758173.2</v>
      </c>
      <c r="AW11" s="305">
        <f>SUM(AW12:AW17)</f>
        <v>1488027.9</v>
      </c>
      <c r="AX11" s="304">
        <f>SUM(AX12:AX17)</f>
        <v>0</v>
      </c>
      <c r="AY11" s="306"/>
      <c r="AZ11" s="303">
        <f>SUM(AZ12:AZ17)</f>
        <v>0</v>
      </c>
      <c r="BA11" s="305">
        <f>SUM(BA12:BA17)</f>
        <v>0</v>
      </c>
      <c r="BB11" s="304">
        <f>SUM(BB12:BB17)</f>
        <v>0</v>
      </c>
      <c r="BC11" s="306"/>
      <c r="BD11" s="303">
        <f t="shared" ref="BD11:BI11" si="0">SUM(BD12:BD17)</f>
        <v>0</v>
      </c>
      <c r="BE11" s="304">
        <f t="shared" si="0"/>
        <v>0</v>
      </c>
      <c r="BF11" s="303">
        <f t="shared" si="0"/>
        <v>0</v>
      </c>
      <c r="BG11" s="305">
        <f t="shared" si="0"/>
        <v>565812</v>
      </c>
      <c r="BH11" s="304">
        <f t="shared" si="0"/>
        <v>565812</v>
      </c>
      <c r="BI11" s="303">
        <f t="shared" si="0"/>
        <v>59520</v>
      </c>
    </row>
    <row r="12" spans="1:61" x14ac:dyDescent="0.25">
      <c r="A12" s="302" t="s">
        <v>197</v>
      </c>
      <c r="B12" s="297"/>
      <c r="C12" s="296"/>
      <c r="D12" s="472">
        <f>(E12+I12+M12+R12+V12+AA12+AE12+AJ12+AN12+AR12+AW12+BA12)+Q12+Z12+AI12+AV12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>
        <v>59520</v>
      </c>
      <c r="AN12" s="295"/>
      <c r="AO12" s="298"/>
      <c r="AP12" s="301"/>
      <c r="AQ12" s="300"/>
      <c r="AR12" s="295"/>
      <c r="AS12" s="298"/>
      <c r="AT12" s="301"/>
      <c r="AU12" s="300"/>
      <c r="AV12" s="472">
        <f>SUM(F12+J12+N12)-(E12+I12+M12)-Q12+(S12+W12)-(R12+V12)-Z12+(AB12+AF12)-(AA12+AE12)-AI12+(AK12+AO12+AS12)-(AJ12+AN12+AR12)</f>
        <v>0</v>
      </c>
      <c r="AW12" s="295"/>
      <c r="AX12" s="298"/>
      <c r="AY12" s="301"/>
      <c r="AZ12" s="300"/>
      <c r="BA12" s="295"/>
      <c r="BB12" s="298"/>
      <c r="BC12" s="301"/>
      <c r="BD12" s="300"/>
      <c r="BE12" s="294"/>
      <c r="BF12" s="293"/>
      <c r="BG12" s="294">
        <f>(E12+I12+M12+R12+V12+AA12+AE12+AJ12+AN12+AR12)+Q12+Z12+AI12+AV12</f>
        <v>59520</v>
      </c>
      <c r="BH12" s="294">
        <f t="shared" ref="BH12:BH17" si="1">F12+J12+N12+S12+W12+AB12+AF12+AK12+AO12+AS12+AX12+BB12+BE12</f>
        <v>59520</v>
      </c>
      <c r="BI12" s="294">
        <f t="shared" ref="BI12:BI17" si="2">H12+L12+P12+U12+Y12+AD12+AH12+AM12+AQ12+AU12+AZ12+BD12+BF12</f>
        <v>59520</v>
      </c>
    </row>
    <row r="13" spans="1:61" x14ac:dyDescent="0.25">
      <c r="A13" s="302" t="s">
        <v>196</v>
      </c>
      <c r="B13" s="297"/>
      <c r="C13" s="296"/>
      <c r="D13" s="472">
        <f t="shared" ref="D13:D17" si="3">(E13+I13+M13+R13+V13+AA13+AE13+AJ13+AN13+AR13+AW13+BA13)+Q13+Z13+AI13+AV13</f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>
        <v>506292</v>
      </c>
      <c r="AT13" s="301"/>
      <c r="AU13" s="300"/>
      <c r="AV13" s="472">
        <f t="shared" ref="AV13:AV17" si="4">SUM(F13+J13+N13)-(E13+I13+M13)-Q13+(S13+W13)-(R13+V13)-Z13+(AB13+AF13)-(AA13+AE13)-AI13+(AK13+AO13+AS13)-(AJ13+AN13+AR13)</f>
        <v>0</v>
      </c>
      <c r="AW13" s="295"/>
      <c r="AX13" s="298"/>
      <c r="AY13" s="301"/>
      <c r="AZ13" s="300"/>
      <c r="BA13" s="295"/>
      <c r="BB13" s="298"/>
      <c r="BC13" s="301"/>
      <c r="BD13" s="300"/>
      <c r="BE13" s="294"/>
      <c r="BF13" s="293"/>
      <c r="BG13" s="294">
        <f t="shared" ref="BG13:BG17" si="5">(E13+I13+M13+R13+V13+AA13+AE13+AJ13+AN13+AR13)+Q13+Z13+AI13+AV13</f>
        <v>506292</v>
      </c>
      <c r="BH13" s="294">
        <f t="shared" si="1"/>
        <v>506292</v>
      </c>
      <c r="BI13" s="294">
        <f t="shared" si="2"/>
        <v>0</v>
      </c>
    </row>
    <row r="14" spans="1:61" x14ac:dyDescent="0.25">
      <c r="A14" s="302" t="s">
        <v>224</v>
      </c>
      <c r="B14" s="297"/>
      <c r="C14" s="296"/>
      <c r="D14" s="472">
        <f t="shared" si="3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472">
        <f t="shared" si="4"/>
        <v>-758173.2</v>
      </c>
      <c r="AW14" s="295">
        <v>758173.2</v>
      </c>
      <c r="AX14" s="298"/>
      <c r="AY14" s="301"/>
      <c r="AZ14" s="300"/>
      <c r="BA14" s="295"/>
      <c r="BB14" s="298"/>
      <c r="BC14" s="301"/>
      <c r="BD14" s="300"/>
      <c r="BE14" s="294"/>
      <c r="BF14" s="293"/>
      <c r="BG14" s="294">
        <f t="shared" si="5"/>
        <v>0</v>
      </c>
      <c r="BH14" s="294">
        <f t="shared" si="1"/>
        <v>0</v>
      </c>
      <c r="BI14" s="294">
        <f t="shared" si="2"/>
        <v>0</v>
      </c>
    </row>
    <row r="15" spans="1:61" ht="38.25" x14ac:dyDescent="0.25">
      <c r="A15" s="302" t="s">
        <v>223</v>
      </c>
      <c r="B15" s="297"/>
      <c r="C15" s="296"/>
      <c r="D15" s="472">
        <f t="shared" si="3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472">
        <f t="shared" si="4"/>
        <v>0</v>
      </c>
      <c r="AW15" s="295">
        <v>729854.7</v>
      </c>
      <c r="AX15" s="298"/>
      <c r="AY15" s="301"/>
      <c r="AZ15" s="300"/>
      <c r="BA15" s="295"/>
      <c r="BB15" s="298"/>
      <c r="BC15" s="301"/>
      <c r="BD15" s="300"/>
      <c r="BE15" s="294"/>
      <c r="BF15" s="293"/>
      <c r="BG15" s="294">
        <f t="shared" si="5"/>
        <v>0</v>
      </c>
      <c r="BH15" s="294">
        <f t="shared" si="1"/>
        <v>0</v>
      </c>
      <c r="BI15" s="294">
        <f t="shared" si="2"/>
        <v>0</v>
      </c>
    </row>
    <row r="16" spans="1:61" ht="25.5" x14ac:dyDescent="0.25">
      <c r="A16" s="302" t="s">
        <v>222</v>
      </c>
      <c r="B16" s="297"/>
      <c r="C16" s="296"/>
      <c r="D16" s="472">
        <f t="shared" si="3"/>
        <v>0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472">
        <f t="shared" si="4"/>
        <v>0</v>
      </c>
      <c r="AW16" s="295"/>
      <c r="AX16" s="298"/>
      <c r="AY16" s="301"/>
      <c r="AZ16" s="300"/>
      <c r="BA16" s="295"/>
      <c r="BB16" s="298"/>
      <c r="BC16" s="301"/>
      <c r="BD16" s="300"/>
      <c r="BE16" s="294"/>
      <c r="BF16" s="293"/>
      <c r="BG16" s="294">
        <f t="shared" si="5"/>
        <v>0</v>
      </c>
      <c r="BH16" s="294">
        <f t="shared" si="1"/>
        <v>0</v>
      </c>
      <c r="BI16" s="294">
        <f t="shared" si="2"/>
        <v>0</v>
      </c>
    </row>
    <row r="17" spans="1:61" ht="15.75" thickBot="1" x14ac:dyDescent="0.3">
      <c r="A17" s="302" t="s">
        <v>221</v>
      </c>
      <c r="B17" s="297"/>
      <c r="C17" s="296"/>
      <c r="D17" s="472">
        <f t="shared" si="3"/>
        <v>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472">
        <f t="shared" si="4"/>
        <v>0</v>
      </c>
      <c r="AW17" s="295"/>
      <c r="AX17" s="298"/>
      <c r="AY17" s="301"/>
      <c r="AZ17" s="300"/>
      <c r="BA17" s="295"/>
      <c r="BB17" s="298"/>
      <c r="BC17" s="301"/>
      <c r="BD17" s="300"/>
      <c r="BE17" s="294"/>
      <c r="BF17" s="293"/>
      <c r="BG17" s="294">
        <f t="shared" si="5"/>
        <v>0</v>
      </c>
      <c r="BH17" s="294">
        <f t="shared" si="1"/>
        <v>0</v>
      </c>
      <c r="BI17" s="294">
        <f t="shared" si="2"/>
        <v>0</v>
      </c>
    </row>
    <row r="18" spans="1:61" ht="15.75" thickBot="1" x14ac:dyDescent="0.3">
      <c r="A18" s="292" t="s">
        <v>37</v>
      </c>
      <c r="B18" s="290"/>
      <c r="C18" s="291"/>
      <c r="D18" s="290">
        <f>SUM(D11)</f>
        <v>2053839.9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59520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506292</v>
      </c>
      <c r="AT18" s="288"/>
      <c r="AU18" s="287">
        <f>SUM(AU12:AU17)</f>
        <v>0</v>
      </c>
      <c r="AV18" s="350">
        <f>SUM(AV12:AV17)</f>
        <v>-758173.2</v>
      </c>
      <c r="AW18" s="284">
        <f>SUM(AW12:AW17)</f>
        <v>1488027.9</v>
      </c>
      <c r="AX18" s="289">
        <f>SUM(AX12:AX17)</f>
        <v>0</v>
      </c>
      <c r="AY18" s="288"/>
      <c r="AZ18" s="287">
        <f>SUM(AZ12:AZ17)</f>
        <v>0</v>
      </c>
      <c r="BA18" s="284">
        <f>SUM(BA12:BA17)</f>
        <v>0</v>
      </c>
      <c r="BB18" s="289">
        <f>SUM(BB12:BB17)</f>
        <v>0</v>
      </c>
      <c r="BC18" s="288"/>
      <c r="BD18" s="287">
        <f t="shared" ref="BD18:BI18" si="6">SUM(BD12:BD17)</f>
        <v>0</v>
      </c>
      <c r="BE18" s="286">
        <f t="shared" si="6"/>
        <v>0</v>
      </c>
      <c r="BF18" s="285">
        <f t="shared" si="6"/>
        <v>0</v>
      </c>
      <c r="BG18" s="284">
        <f t="shared" si="6"/>
        <v>565812</v>
      </c>
      <c r="BH18" s="283">
        <f t="shared" si="6"/>
        <v>565812</v>
      </c>
      <c r="BI18" s="282">
        <f t="shared" si="6"/>
        <v>59520</v>
      </c>
    </row>
    <row r="19" spans="1:61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348">
        <f>AR19+AV18</f>
        <v>565812</v>
      </c>
      <c r="AW19" s="278">
        <f>AV19+AW18</f>
        <v>2053839.9</v>
      </c>
      <c r="AX19" s="275"/>
      <c r="AY19" s="277"/>
      <c r="AZ19" s="276"/>
      <c r="BA19" s="278">
        <f>AW19+BA18</f>
        <v>2053839.9</v>
      </c>
      <c r="BB19" s="275"/>
      <c r="BC19" s="277"/>
      <c r="BD19" s="276"/>
      <c r="BE19" s="275"/>
      <c r="BF19" s="274"/>
      <c r="BI19" s="257"/>
    </row>
    <row r="20" spans="1:61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565812</v>
      </c>
      <c r="AT20" s="269"/>
      <c r="AU20" s="268"/>
      <c r="AV20" s="349"/>
      <c r="AW20" s="270"/>
      <c r="AX20" s="269">
        <f>AS20+AX18</f>
        <v>565812</v>
      </c>
      <c r="AY20" s="269"/>
      <c r="AZ20" s="268"/>
      <c r="BA20" s="270"/>
      <c r="BB20" s="269">
        <f>AX20+BB18</f>
        <v>565812</v>
      </c>
      <c r="BC20" s="269"/>
      <c r="BD20" s="268"/>
      <c r="BE20" s="267">
        <f>BB20+BE18</f>
        <v>565812</v>
      </c>
      <c r="BF20" s="266"/>
      <c r="BI20" s="257"/>
    </row>
    <row r="21" spans="1:61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59520</v>
      </c>
      <c r="AN21" s="262"/>
      <c r="AO21" s="261"/>
      <c r="AP21" s="261"/>
      <c r="AQ21" s="260">
        <f>AM21+AQ18</f>
        <v>59520</v>
      </c>
      <c r="AR21" s="262"/>
      <c r="AS21" s="261"/>
      <c r="AT21" s="261"/>
      <c r="AU21" s="260">
        <f>AQ21+AU18</f>
        <v>59520</v>
      </c>
      <c r="AV21" s="348"/>
      <c r="AW21" s="262"/>
      <c r="AX21" s="261"/>
      <c r="AY21" s="261"/>
      <c r="AZ21" s="260">
        <f>AU21+AZ18</f>
        <v>59520</v>
      </c>
      <c r="BA21" s="262"/>
      <c r="BB21" s="261"/>
      <c r="BC21" s="261"/>
      <c r="BD21" s="260">
        <f>AZ21+BD18</f>
        <v>59520</v>
      </c>
      <c r="BE21" s="259"/>
      <c r="BF21" s="258">
        <f>BD21+BF18</f>
        <v>59520</v>
      </c>
      <c r="BG21" s="257"/>
      <c r="BH21" s="257"/>
      <c r="BI21" s="257"/>
    </row>
    <row r="22" spans="1:61" x14ac:dyDescent="0.25">
      <c r="A22" s="256"/>
      <c r="B22" s="255"/>
      <c r="C22" s="255"/>
      <c r="D22" s="255"/>
    </row>
  </sheetData>
  <mergeCells count="18">
    <mergeCell ref="V9:Y9"/>
    <mergeCell ref="AW9:AZ9"/>
    <mergeCell ref="BA9:BD9"/>
    <mergeCell ref="BE9:BF9"/>
    <mergeCell ref="BG9:BI9"/>
    <mergeCell ref="Z9:Z10"/>
    <mergeCell ref="AA9:AD9"/>
    <mergeCell ref="AE9:AH9"/>
    <mergeCell ref="AJ9:AM9"/>
    <mergeCell ref="AN9:AQ9"/>
    <mergeCell ref="AR9:AU9"/>
    <mergeCell ref="AI9:AI10"/>
    <mergeCell ref="AV9:AV10"/>
    <mergeCell ref="E9:H9"/>
    <mergeCell ref="I9:L9"/>
    <mergeCell ref="M9:P9"/>
    <mergeCell ref="Q9:Q10"/>
    <mergeCell ref="R9:U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7D764B-27F9-407F-B8D1-1C44CBB0483A}"/>
</file>

<file path=customXml/itemProps2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6C103-2214-474F-AFDF-342FB6803B3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cbe3d93-721a-40eb-81ca-e2197060b674"/>
    <ds:schemaRef ds:uri="http://schemas.microsoft.com/office/infopath/2007/PartnerControls"/>
    <ds:schemaRef ds:uri="http://purl.org/dc/terms/"/>
    <ds:schemaRef ds:uri="ee0d1073-b73c-4cf9-a2e0-1985adf7d54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Smith, Cornelius</cp:lastModifiedBy>
  <cp:revision/>
  <dcterms:created xsi:type="dcterms:W3CDTF">2018-12-14T15:22:45Z</dcterms:created>
  <dcterms:modified xsi:type="dcterms:W3CDTF">2026-05-07T19:29:49Z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